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9735" windowHeight="6705" tabRatio="911" firstSheet="3" activeTab="14"/>
  </bookViews>
  <sheets>
    <sheet name="зведена " sheetId="1" r:id="rId1"/>
    <sheet name="покрівлі" sheetId="2" r:id="rId2"/>
    <sheet name="сходова" sheetId="3" r:id="rId3"/>
    <sheet name="електрики" sheetId="4" r:id="rId4"/>
    <sheet name="дератизація" sheetId="5" r:id="rId5"/>
    <sheet name="маляри" sheetId="6" r:id="rId6"/>
    <sheet name="підзими" sheetId="7" r:id="rId7"/>
    <sheet name="слюсарі х.в." sheetId="8" r:id="rId8"/>
    <sheet name="водовідведення" sheetId="9" r:id="rId9"/>
    <sheet name="майстерні" sheetId="10" r:id="rId10"/>
    <sheet name="зварювальник" sheetId="11" r:id="rId11"/>
    <sheet name="аварійна служба" sheetId="12" r:id="rId12"/>
    <sheet name="димовенти" sheetId="13" r:id="rId13"/>
    <sheet name="Лист1" sheetId="14" state="hidden" r:id="rId14"/>
    <sheet name="прибудинкова" sheetId="15" r:id="rId15"/>
  </sheets>
  <definedNames>
    <definedName name="_xlnm.Print_Titles" localSheetId="4">'дератизація'!$1:$4</definedName>
    <definedName name="_xlnm.Print_Titles" localSheetId="12">'димовенти'!$1:$3</definedName>
    <definedName name="_xlnm.Print_Titles" localSheetId="3">'електрики'!$1:$5</definedName>
    <definedName name="_xlnm.Print_Titles" localSheetId="10">'зварювальник'!$1:$4</definedName>
    <definedName name="_xlnm.Print_Titles" localSheetId="0">'зведена '!$4:$5</definedName>
    <definedName name="_xlnm.Print_Titles" localSheetId="5">'маляри'!$1:$3</definedName>
    <definedName name="_xlnm.Print_Titles" localSheetId="1">'покрівлі'!$1:$3</definedName>
    <definedName name="_xlnm.Print_Titles" localSheetId="7">'слюсарі х.в.'!$1:$4</definedName>
    <definedName name="_xlnm.Print_Area" localSheetId="4">'дератизація'!$A$1:$J$12</definedName>
    <definedName name="_xlnm.Print_Area" localSheetId="0">'зведена '!$A$1:$O$16</definedName>
    <definedName name="_xlnm.Print_Area" localSheetId="9">'майстерні'!$A$1:$L$15</definedName>
    <definedName name="_xlnm.Print_Area" localSheetId="7">'слюсарі х.в.'!$A$1:$O$14</definedName>
  </definedNames>
  <calcPr fullCalcOnLoad="1"/>
</workbook>
</file>

<file path=xl/sharedStrings.xml><?xml version="1.0" encoding="utf-8"?>
<sst xmlns="http://schemas.openxmlformats.org/spreadsheetml/2006/main" count="294" uniqueCount="97">
  <si>
    <t>Тариф без ПДВ</t>
  </si>
  <si>
    <t>Витрати на обслуговування аварійних служб ( ТРАП, РАП)</t>
  </si>
  <si>
    <t>Середньомісячний тариф на проведення аварійних робіт</t>
  </si>
  <si>
    <t>Вартість обслуговування аварійними службами)</t>
  </si>
  <si>
    <t>Основна заробітна плата(дим.), грн.</t>
  </si>
  <si>
    <t>Кількість чистильщиків вентиляційних каналів</t>
  </si>
  <si>
    <t>Проект тарифу  з ПДВ</t>
  </si>
  <si>
    <t>Діючий тариф, грн.</t>
  </si>
  <si>
    <t>Прогнозований дохід по підприємству, грн. в місяць</t>
  </si>
  <si>
    <t>Плановий дохід згідно рішення, грн. в місяць</t>
  </si>
  <si>
    <t>Середньомісячне нарахування експлуатаційних, грн.</t>
  </si>
  <si>
    <t>Ріст тарифу, %</t>
  </si>
  <si>
    <t>Кількість чистильщиків димових каналів</t>
  </si>
  <si>
    <r>
      <t>Витрати на обслуговування покрівельників в в місяць на 1м</t>
    </r>
    <r>
      <rPr>
        <b/>
        <sz val="10"/>
        <rFont val="Times New Roman"/>
        <family val="1"/>
      </rPr>
      <t>²</t>
    </r>
    <r>
      <rPr>
        <b/>
        <i/>
        <sz val="7.5"/>
        <rFont val="Times New Roman"/>
        <family val="1"/>
      </rPr>
      <t xml:space="preserve"> загальної площі без ПДВ</t>
    </r>
  </si>
  <si>
    <t>Нарахування на заробітну плату (36,77%), грн.</t>
  </si>
  <si>
    <t>Відрахування на соціальні заходи (36,77%), грн.</t>
  </si>
  <si>
    <t>№ п/п</t>
  </si>
  <si>
    <t>Адреса</t>
  </si>
  <si>
    <t>Площа сходових кліток(1431)</t>
  </si>
  <si>
    <t>Загальна площа нежитлових приміщень, власних приміщень і квартир будинку</t>
  </si>
  <si>
    <t>Загальна площа власних приміщень, м²</t>
  </si>
  <si>
    <t>Загальна площа нежитлових приміщень, м²</t>
  </si>
  <si>
    <r>
      <t>Площа покрівлі м</t>
    </r>
    <r>
      <rPr>
        <b/>
        <sz val="10"/>
        <rFont val="Arial"/>
        <family val="2"/>
      </rPr>
      <t>²</t>
    </r>
  </si>
  <si>
    <t>Тариф на 1м²</t>
  </si>
  <si>
    <t>Нормативна кількість вентиляційних каналів</t>
  </si>
  <si>
    <t>Середньомісячний тариф на проведення дератизаційних робіт</t>
  </si>
  <si>
    <t>Витрати на обслуговування внутрішньобудинкових систем водопостачання та водовідведення на 1м² загальної площі без ПДВ</t>
  </si>
  <si>
    <t>Загальна площа квартир будику, м²</t>
  </si>
  <si>
    <t xml:space="preserve">  Всього собівартість послуг</t>
  </si>
  <si>
    <t>Кількість водіїв</t>
  </si>
  <si>
    <t>Площа прибудинкової території (1431)</t>
  </si>
  <si>
    <t xml:space="preserve">Заробітна плата, грн. </t>
  </si>
  <si>
    <t>Кількість нежитлових приміщень</t>
  </si>
  <si>
    <t>Кількість квартир</t>
  </si>
  <si>
    <t>Кількість власних приміщень</t>
  </si>
  <si>
    <t>Вид покрівлі</t>
  </si>
  <si>
    <t>Витрати на прибирання прибудинкової території на 1кв.м.загальної площі без ПДВ</t>
  </si>
  <si>
    <t>Заробітна плата, грн.</t>
  </si>
  <si>
    <t>Накладні витрати, грн.</t>
  </si>
  <si>
    <t>Матеріальні витрати, грн.</t>
  </si>
  <si>
    <t>Фактична кількість димових каналів, шт</t>
  </si>
  <si>
    <t>Фактична кількість вентиляційних каналів, шт.</t>
  </si>
  <si>
    <t>Накладні витрати , грн.</t>
  </si>
  <si>
    <t>Матеріали, грн.</t>
  </si>
  <si>
    <t>Головний бухгалтер</t>
  </si>
  <si>
    <t>Майстер з експлуатації ЖФ</t>
  </si>
  <si>
    <t>Витрати з прибирання сходових кліток на 1 кв. м загальної площі квартири, житлового приміщення у гуртожитку та нежитлового приміщення у житловому будинку (гуртожитку)</t>
  </si>
  <si>
    <t>Витрати з прибирання прибудинкової території на 1 кв. м загальної площі квартири, житлового приміщення у гуртожитку та нежитлового приміщення у житловому будинку (гуртожитку)</t>
  </si>
  <si>
    <t>Витрати з дератизації на 1 кв. м загальної площі квартири (житлового приміщення у гуртожитку), нежитлового приміщення у житловому будинку (гуртожитку)</t>
  </si>
  <si>
    <t>Витрати на обслуговування димовентиляційних каналів на 1 кв.м загальної площі квартири (житлового приміщення у гуртожитку), нежитлового приміщення у житловому будинку (гуртожитку)</t>
  </si>
  <si>
    <t>Витрати з проведення поточного ремонту конструктивних елементів, внутрішньобудинкових сиситем гарячого і холодного водопостачання, водовідведення, теплопостачання та зливної каналізації і технічних пристроїв будинку та елементів зовнішнього упорядження, розташованих на прибудинковій території на 1 кв. м загальної площі квартири (житлового приміщення у гуртожтожитку), нежитлового приміщення у житловому будинку (гуртожитку)</t>
  </si>
  <si>
    <t>Витрати на освітлення МЗК і підвальних приміщень та підкачування води на 1 кв. м загальної площі квартири, житлового приміщення у гуртожитку та нежитлового приміщення у житловому будинку (гуртожитку)</t>
  </si>
  <si>
    <t>Рентабельність, 3%</t>
  </si>
  <si>
    <t>ЛКП "№507"</t>
  </si>
  <si>
    <t>Загальна площа квартир будинку, м²</t>
  </si>
  <si>
    <r>
      <t>Загальна площа квартир будинку, м</t>
    </r>
    <r>
      <rPr>
        <b/>
        <sz val="10"/>
        <rFont val="Times New Roman"/>
        <family val="1"/>
      </rPr>
      <t>²</t>
    </r>
  </si>
  <si>
    <r>
      <t>Витрати на обслуговування димовентиляційних каналів в місяць на 1м</t>
    </r>
    <r>
      <rPr>
        <b/>
        <sz val="10"/>
        <rFont val="Times New Roman"/>
        <family val="1"/>
      </rPr>
      <t>²</t>
    </r>
    <r>
      <rPr>
        <b/>
        <i/>
        <sz val="7.5"/>
        <rFont val="Times New Roman"/>
        <family val="1"/>
      </rPr>
      <t xml:space="preserve"> загальної площі без ПДВ</t>
    </r>
  </si>
  <si>
    <t>Витрати з технічного обслуговування внутрішньобудинкових систем гарячого і холодного водопостачання, водовідведення, теплопостачання і зливної каналізації та з ліквідації аварій у внутрішньоквартирних мережах на 1 кв. м загальної площі квартири (житлового приміщення у гуртожитку), нежитлового приміщення у житловому будинку (гуртожитку)</t>
  </si>
  <si>
    <r>
      <t>Витрати на електрогазозварювальні роботи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</si>
  <si>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r>
      <t>Витрати на обслуговування внутрішньобудинкових систем водопостачання та водовідведення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</si>
  <si>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r>
      <t>Витрати на поточний ремонт (малярів, мулярів, штукатурів)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</si>
  <si>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r>
      <t>Витрати на дератизацію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площіз ПДВ</t>
    </r>
  </si>
  <si>
    <r>
      <t>Витрати на обслуговування внутрішньобудинкових електромереж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</si>
  <si>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t>Кількість покрівельників</t>
  </si>
  <si>
    <t>Кількість двірників</t>
  </si>
  <si>
    <t>Кількість електриків</t>
  </si>
  <si>
    <t>Кількість малярів</t>
  </si>
  <si>
    <t>Кількість слюсарів</t>
  </si>
  <si>
    <t>Кількість зварювальників</t>
  </si>
  <si>
    <t>Витрати на прибирання сходових кліток на 1кв.м.загальної площі  без ПДВ</t>
  </si>
  <si>
    <t>Поверховість будинків</t>
  </si>
  <si>
    <t>Площа проходів підвалів та сходових кліток першого поверху, для нежитлових приміщень</t>
  </si>
  <si>
    <t xml:space="preserve">Площа прибудинкової території </t>
  </si>
  <si>
    <t xml:space="preserve">Площасходових кліток </t>
  </si>
  <si>
    <t>Тариф на утримання будинків і споруд та прибудинкових територій по ЛКП "№ 500" Личаківського району</t>
  </si>
  <si>
    <t>Левицького 75а</t>
  </si>
  <si>
    <t>мягка</t>
  </si>
  <si>
    <t>Яворська І.В</t>
  </si>
  <si>
    <t>Вентик Я.В</t>
  </si>
  <si>
    <t>Диретор ЛКП "№ 500"</t>
  </si>
  <si>
    <t>Гончар Т.І</t>
  </si>
  <si>
    <t>Вентик Я. В</t>
  </si>
  <si>
    <t>Витрати на обслуговування покрівельниківканалів по ЛКП "№ 500"  Личаківського району</t>
  </si>
  <si>
    <t>Витрати на прибирання сходових кліток по ЛКП "№ 500" Личаківського району</t>
  </si>
  <si>
    <t>Витрати на обслуговування внутрішньобудинкових електромереж  по ЛКП "№ 500"  Личаківського району</t>
  </si>
  <si>
    <t>Витрати на дератизаціюпо ЛКП "№ 500" Личаківського району</t>
  </si>
  <si>
    <t>Витрати на поточний ремонт ( маляри, муляри, штукатури) по ЛКП "№ 500"  Личаківського району</t>
  </si>
  <si>
    <t>Кількість столярів</t>
  </si>
  <si>
    <r>
      <t>Витрати на підготовку житлових будинків до експлуатації в осінньо-зимовий період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</si>
  <si>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t>Витрати на підготовку житлових будинків до експлуатації в осінньо-зимовий період по ЛКП "№500" Личаківського району</t>
  </si>
  <si>
    <t>Витрати на обслуговування внутрішньобудинкових систем водовідведення  по ЛКП "№ 500"  Личаківського району</t>
  </si>
  <si>
    <t>Витрати на обслуговування внутрішньобудинкових систем водопостачання  по ЛКП "№ 500"  Личаківського району</t>
  </si>
  <si>
    <t>Витрати на обслуговування водіїв по ЛКП "№ 500"  Личаківського району</t>
  </si>
  <si>
    <t>Витрати на електрогазозварювальні роботи по ЛКП  "№ 500"  Личаківського району</t>
  </si>
  <si>
    <t>Витрати на аварійні служби  по ЛКП  "№ 500" Личаківського району</t>
  </si>
  <si>
    <t>Витрати на обслуговування димовентиляційних каналів по ЛКП "№500"  Личаківського району</t>
  </si>
  <si>
    <t>Витрати на прибирання прибудинкової території  по ЛКП "500" Личаківського району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</si>
</sst>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"/>
    <numFmt numFmtId="202" formatCode="0.00000000"/>
    <numFmt numFmtId="203" formatCode="0.0000E+00"/>
    <numFmt numFmtId="204" formatCode="0.000E+00"/>
    <numFmt numFmtId="205" formatCode="0.0E+00"/>
    <numFmt numFmtId="206" formatCode="0E+00"/>
    <numFmt numFmtId="207" formatCode="0.0000000000"/>
    <numFmt numFmtId="208" formatCode="0.000000000"/>
    <numFmt numFmtId="209" formatCode="0.00000000000"/>
    <numFmt numFmtId="210" formatCode="0.000000000000"/>
    <numFmt numFmtId="211" formatCode="0.0000000000000"/>
    <numFmt numFmtId="212" formatCode="[$-422]d\ mmmm\ yyyy&quot; р.&quot;"/>
    <numFmt numFmtId="213" formatCode="#&quot; &quot;?/2"/>
  </numFmts>
  <fonts count="55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.5"/>
      <name val="Times New Roman"/>
      <family val="1"/>
    </font>
    <font>
      <b/>
      <i/>
      <sz val="7.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98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198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1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198" fontId="1" fillId="33" borderId="11" xfId="0" applyNumberFormat="1" applyFont="1" applyFill="1" applyBorder="1" applyAlignment="1">
      <alignment/>
    </xf>
    <xf numFmtId="198" fontId="1" fillId="33" borderId="28" xfId="0" applyNumberFormat="1" applyFont="1" applyFill="1" applyBorder="1" applyAlignment="1">
      <alignment/>
    </xf>
    <xf numFmtId="198" fontId="1" fillId="0" borderId="10" xfId="0" applyNumberFormat="1" applyFont="1" applyBorder="1" applyAlignment="1">
      <alignment/>
    </xf>
    <xf numFmtId="0" fontId="1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200" fontId="1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11" fillId="33" borderId="1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2" fontId="16" fillId="33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97" fontId="11" fillId="0" borderId="10" xfId="0" applyNumberFormat="1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/>
    </xf>
    <xf numFmtId="197" fontId="16" fillId="0" borderId="0" xfId="0" applyNumberFormat="1" applyFont="1" applyFill="1" applyBorder="1" applyAlignment="1">
      <alignment/>
    </xf>
    <xf numFmtId="2" fontId="16" fillId="33" borderId="0" xfId="0" applyNumberFormat="1" applyFont="1" applyFill="1" applyBorder="1" applyAlignment="1">
      <alignment/>
    </xf>
    <xf numFmtId="197" fontId="6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horizontal="center"/>
    </xf>
    <xf numFmtId="197" fontId="6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98" fontId="3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/>
    </xf>
    <xf numFmtId="198" fontId="1" fillId="33" borderId="10" xfId="0" applyNumberFormat="1" applyFont="1" applyFill="1" applyBorder="1" applyAlignment="1">
      <alignment/>
    </xf>
    <xf numFmtId="197" fontId="1" fillId="0" borderId="10" xfId="0" applyNumberFormat="1" applyFont="1" applyBorder="1" applyAlignment="1">
      <alignment/>
    </xf>
    <xf numFmtId="197" fontId="2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98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197" fontId="11" fillId="0" borderId="1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left"/>
    </xf>
    <xf numFmtId="197" fontId="16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197" fontId="6" fillId="33" borderId="0" xfId="0" applyNumberFormat="1" applyFont="1" applyFill="1" applyBorder="1" applyAlignment="1">
      <alignment horizontal="left"/>
    </xf>
    <xf numFmtId="2" fontId="12" fillId="0" borderId="0" xfId="49" applyNumberFormat="1" applyFont="1">
      <alignment/>
      <protection/>
    </xf>
    <xf numFmtId="1" fontId="1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97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00" fontId="1" fillId="0" borderId="10" xfId="0" applyNumberFormat="1" applyFont="1" applyFill="1" applyBorder="1" applyAlignment="1">
      <alignment/>
    </xf>
    <xf numFmtId="197" fontId="1" fillId="0" borderId="10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98" fontId="1" fillId="0" borderId="11" xfId="0" applyNumberFormat="1" applyFont="1" applyBorder="1" applyAlignment="1">
      <alignment/>
    </xf>
    <xf numFmtId="197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198" fontId="6" fillId="33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left"/>
    </xf>
    <xf numFmtId="0" fontId="17" fillId="33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ідтінки сірого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Normal="60" zoomScaleSheetLayoutView="100" zoomScalePageLayoutView="0" workbookViewId="0" topLeftCell="E1">
      <selection activeCell="N6" sqref="N6"/>
    </sheetView>
  </sheetViews>
  <sheetFormatPr defaultColWidth="9.140625" defaultRowHeight="12.75"/>
  <cols>
    <col min="1" max="1" width="8.421875" style="33" customWidth="1"/>
    <col min="2" max="2" width="3.8515625" style="33" bestFit="1" customWidth="1"/>
    <col min="3" max="3" width="19.140625" style="33" customWidth="1"/>
    <col min="4" max="4" width="14.140625" style="33" customWidth="1"/>
    <col min="5" max="5" width="14.8515625" style="33" customWidth="1"/>
    <col min="6" max="6" width="24.140625" style="33" customWidth="1"/>
    <col min="7" max="7" width="14.00390625" style="33" customWidth="1"/>
    <col min="8" max="8" width="16.00390625" style="100" customWidth="1"/>
    <col min="9" max="9" width="24.140625" style="33" customWidth="1"/>
    <col min="10" max="10" width="18.00390625" style="33" customWidth="1"/>
    <col min="11" max="11" width="7.28125" style="37" customWidth="1"/>
    <col min="12" max="12" width="6.8515625" style="78" customWidth="1"/>
    <col min="13" max="13" width="6.28125" style="78" customWidth="1"/>
    <col min="14" max="14" width="6.00390625" style="33" customWidth="1"/>
    <col min="15" max="15" width="0.2890625" style="33" hidden="1" customWidth="1"/>
    <col min="16" max="16" width="9.00390625" style="33" hidden="1" customWidth="1"/>
    <col min="17" max="17" width="13.8515625" style="33" hidden="1" customWidth="1"/>
    <col min="18" max="18" width="17.8515625" style="33" hidden="1" customWidth="1"/>
    <col min="19" max="20" width="0" style="33" hidden="1" customWidth="1"/>
    <col min="21" max="21" width="17.7109375" style="33" hidden="1" customWidth="1"/>
    <col min="22" max="22" width="13.140625" style="33" hidden="1" customWidth="1"/>
    <col min="23" max="23" width="18.421875" style="33" hidden="1" customWidth="1"/>
    <col min="24" max="25" width="0" style="33" hidden="1" customWidth="1"/>
    <col min="26" max="16384" width="9.140625" style="33" customWidth="1"/>
  </cols>
  <sheetData>
    <row r="1" spans="1:15" ht="25.5" customHeight="1">
      <c r="A1" s="164" t="s">
        <v>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46"/>
    </row>
    <row r="2" spans="1:5" ht="6.75" customHeight="1">
      <c r="A2" s="31"/>
      <c r="B2" s="31"/>
      <c r="C2" s="31"/>
      <c r="D2" s="31"/>
      <c r="E2" s="31"/>
    </row>
    <row r="3" spans="1:5" ht="19.5">
      <c r="A3" s="31"/>
      <c r="B3" s="31"/>
      <c r="C3" s="31"/>
      <c r="D3" s="31"/>
      <c r="E3" s="31"/>
    </row>
    <row r="4" spans="1:22" ht="270" customHeight="1">
      <c r="A4" s="155" t="s">
        <v>16</v>
      </c>
      <c r="B4" s="155" t="s">
        <v>70</v>
      </c>
      <c r="C4" s="156" t="s">
        <v>17</v>
      </c>
      <c r="D4" s="157" t="s">
        <v>46</v>
      </c>
      <c r="E4" s="157" t="s">
        <v>47</v>
      </c>
      <c r="F4" s="157" t="s">
        <v>57</v>
      </c>
      <c r="G4" s="157" t="s">
        <v>48</v>
      </c>
      <c r="H4" s="155" t="s">
        <v>49</v>
      </c>
      <c r="I4" s="157" t="s">
        <v>50</v>
      </c>
      <c r="J4" s="157" t="s">
        <v>51</v>
      </c>
      <c r="K4" s="158" t="s">
        <v>28</v>
      </c>
      <c r="L4" s="158" t="s">
        <v>52</v>
      </c>
      <c r="M4" s="158" t="s">
        <v>0</v>
      </c>
      <c r="N4" s="158" t="s">
        <v>6</v>
      </c>
      <c r="O4" s="63"/>
      <c r="P4" s="69" t="s">
        <v>7</v>
      </c>
      <c r="Q4" s="69" t="s">
        <v>11</v>
      </c>
      <c r="R4" s="69" t="s">
        <v>8</v>
      </c>
      <c r="U4" s="69" t="s">
        <v>9</v>
      </c>
      <c r="V4" s="69" t="s">
        <v>10</v>
      </c>
    </row>
    <row r="5" spans="1:15" ht="19.5">
      <c r="A5" s="159">
        <v>1</v>
      </c>
      <c r="B5" s="159">
        <v>2</v>
      </c>
      <c r="C5" s="159">
        <v>2</v>
      </c>
      <c r="D5" s="159">
        <v>3</v>
      </c>
      <c r="E5" s="159">
        <v>4</v>
      </c>
      <c r="F5" s="159">
        <v>5</v>
      </c>
      <c r="G5" s="159">
        <v>6</v>
      </c>
      <c r="H5" s="160">
        <v>7</v>
      </c>
      <c r="I5" s="159">
        <v>8</v>
      </c>
      <c r="J5" s="159">
        <v>9</v>
      </c>
      <c r="K5" s="159">
        <v>10</v>
      </c>
      <c r="L5" s="161">
        <v>11</v>
      </c>
      <c r="M5" s="161">
        <v>12</v>
      </c>
      <c r="N5" s="159">
        <v>13</v>
      </c>
      <c r="O5" s="64"/>
    </row>
    <row r="6" spans="1:21" ht="18.75">
      <c r="A6" s="122">
        <v>1</v>
      </c>
      <c r="B6" s="122">
        <v>6</v>
      </c>
      <c r="C6" s="34" t="s">
        <v>75</v>
      </c>
      <c r="D6" s="79">
        <f>сходова!O6</f>
        <v>0.5493373328112079</v>
      </c>
      <c r="E6" s="79">
        <f>прибудинкова!O6</f>
        <v>0.35805979612507405</v>
      </c>
      <c r="F6" s="79">
        <f>'слюсарі х.в.'!O6+водовідведення!O7+зварювальник!L6+'аварійна служба'!J5</f>
        <v>0.1651595168902779</v>
      </c>
      <c r="G6" s="79">
        <f>дератизація!J5</f>
        <v>0.0018651869516849967</v>
      </c>
      <c r="H6" s="114">
        <f>димовенти!P4</f>
        <v>0.008793397557722023</v>
      </c>
      <c r="I6" s="79">
        <f>покрівлі!N4+маляри!L4+майстерні!L6+підзими!L6</f>
        <v>0.18211458762432717</v>
      </c>
      <c r="J6" s="79">
        <f>електрики!O6</f>
        <v>0.027709597163240257</v>
      </c>
      <c r="K6" s="32">
        <f>D6+E6+F6+G6+H6+I6+J6</f>
        <v>1.2930394151235343</v>
      </c>
      <c r="L6" s="73">
        <f>K6*0.03</f>
        <v>0.038791182453706025</v>
      </c>
      <c r="M6" s="73">
        <f>K6+L6</f>
        <v>1.3318305975772402</v>
      </c>
      <c r="N6" s="32">
        <f>M6*1.2</f>
        <v>1.5981967170926883</v>
      </c>
      <c r="O6" s="65"/>
      <c r="P6" s="60"/>
      <c r="Q6" s="62"/>
      <c r="R6" s="60"/>
      <c r="U6" s="60"/>
    </row>
    <row r="7" spans="1:23" s="75" customFormat="1" ht="18.75">
      <c r="A7" s="85"/>
      <c r="B7" s="85"/>
      <c r="C7" s="85"/>
      <c r="D7" s="86"/>
      <c r="E7" s="86"/>
      <c r="F7" s="86"/>
      <c r="G7" s="86"/>
      <c r="H7" s="104"/>
      <c r="I7" s="86"/>
      <c r="J7" s="86"/>
      <c r="K7" s="87"/>
      <c r="L7" s="87"/>
      <c r="M7" s="87"/>
      <c r="N7" s="87"/>
      <c r="O7" s="74"/>
      <c r="P7" s="61"/>
      <c r="Q7" s="76"/>
      <c r="R7" s="61"/>
      <c r="U7" s="61"/>
      <c r="W7" s="77"/>
    </row>
    <row r="8" spans="1:23" s="75" customFormat="1" ht="18.75">
      <c r="A8" s="85"/>
      <c r="B8" s="85"/>
      <c r="C8" s="85"/>
      <c r="D8" s="86"/>
      <c r="E8" s="86"/>
      <c r="F8" s="86"/>
      <c r="G8" s="86"/>
      <c r="H8" s="104"/>
      <c r="I8" s="86"/>
      <c r="J8" s="86"/>
      <c r="K8" s="87"/>
      <c r="L8" s="87"/>
      <c r="M8" s="87"/>
      <c r="N8" s="87"/>
      <c r="O8" s="74"/>
      <c r="P8" s="61"/>
      <c r="Q8" s="76"/>
      <c r="R8" s="61"/>
      <c r="U8" s="61"/>
      <c r="W8" s="77"/>
    </row>
    <row r="9" spans="1:23" s="75" customFormat="1" ht="18.75">
      <c r="A9" s="85"/>
      <c r="B9" s="85"/>
      <c r="C9" s="163"/>
      <c r="D9" s="163"/>
      <c r="E9" s="86"/>
      <c r="F9" s="86"/>
      <c r="G9" s="86"/>
      <c r="H9" s="104"/>
      <c r="I9" s="86"/>
      <c r="K9" s="87"/>
      <c r="L9" s="87"/>
      <c r="M9" s="87"/>
      <c r="N9" s="87"/>
      <c r="O9" s="74"/>
      <c r="P9" s="61"/>
      <c r="Q9" s="76"/>
      <c r="R9" s="61"/>
      <c r="U9" s="61"/>
      <c r="W9" s="77"/>
    </row>
    <row r="10" spans="1:23" s="75" customFormat="1" ht="18.75">
      <c r="A10" s="85"/>
      <c r="B10" s="85"/>
      <c r="C10" s="115"/>
      <c r="D10" s="115"/>
      <c r="E10" s="86"/>
      <c r="F10" s="86"/>
      <c r="G10" s="86"/>
      <c r="H10" s="104"/>
      <c r="I10" s="86"/>
      <c r="J10" s="86"/>
      <c r="K10" s="87"/>
      <c r="L10" s="87"/>
      <c r="M10" s="87"/>
      <c r="N10" s="87"/>
      <c r="O10" s="74"/>
      <c r="P10" s="61"/>
      <c r="Q10" s="76"/>
      <c r="R10" s="61"/>
      <c r="U10" s="61"/>
      <c r="W10" s="77"/>
    </row>
    <row r="11" spans="1:23" s="75" customFormat="1" ht="18.75">
      <c r="A11" s="85"/>
      <c r="B11" s="85"/>
      <c r="C11" s="115"/>
      <c r="D11" s="116"/>
      <c r="E11" s="86"/>
      <c r="F11" s="86"/>
      <c r="G11" s="86"/>
      <c r="H11" s="104"/>
      <c r="I11" s="86"/>
      <c r="J11" s="86"/>
      <c r="K11" s="87"/>
      <c r="L11" s="87"/>
      <c r="M11" s="87"/>
      <c r="N11" s="87"/>
      <c r="O11" s="74"/>
      <c r="P11" s="61"/>
      <c r="Q11" s="76"/>
      <c r="R11" s="61"/>
      <c r="U11" s="61"/>
      <c r="W11" s="77"/>
    </row>
    <row r="12" spans="1:23" s="75" customFormat="1" ht="18.75">
      <c r="A12" s="85"/>
      <c r="B12" s="85"/>
      <c r="C12" s="163" t="s">
        <v>44</v>
      </c>
      <c r="D12" s="163"/>
      <c r="E12" s="86"/>
      <c r="F12" s="86"/>
      <c r="G12" s="86"/>
      <c r="H12" s="104"/>
      <c r="I12" s="86" t="s">
        <v>77</v>
      </c>
      <c r="J12" s="86"/>
      <c r="K12" s="87"/>
      <c r="L12" s="87"/>
      <c r="M12" s="87"/>
      <c r="N12" s="87"/>
      <c r="O12" s="74"/>
      <c r="P12" s="61"/>
      <c r="Q12" s="76"/>
      <c r="R12" s="61"/>
      <c r="U12" s="61"/>
      <c r="W12" s="77"/>
    </row>
    <row r="13" spans="1:23" s="75" customFormat="1" ht="18.75">
      <c r="A13" s="85"/>
      <c r="B13" s="85"/>
      <c r="C13" s="115"/>
      <c r="D13" s="115"/>
      <c r="E13" s="86"/>
      <c r="F13" s="86"/>
      <c r="G13" s="86"/>
      <c r="H13" s="104"/>
      <c r="I13" s="86"/>
      <c r="J13" s="86"/>
      <c r="K13" s="87"/>
      <c r="L13" s="87"/>
      <c r="M13" s="87"/>
      <c r="N13" s="87"/>
      <c r="O13" s="74"/>
      <c r="P13" s="61"/>
      <c r="Q13" s="76"/>
      <c r="R13" s="61"/>
      <c r="U13" s="61"/>
      <c r="W13" s="77"/>
    </row>
    <row r="14" spans="1:23" s="75" customFormat="1" ht="18.75">
      <c r="A14" s="85"/>
      <c r="B14" s="85"/>
      <c r="C14" s="115"/>
      <c r="D14" s="115"/>
      <c r="E14" s="86"/>
      <c r="F14" s="86"/>
      <c r="G14" s="86"/>
      <c r="H14" s="104"/>
      <c r="I14" s="86"/>
      <c r="J14" s="86"/>
      <c r="K14" s="87"/>
      <c r="L14" s="87"/>
      <c r="M14" s="87"/>
      <c r="N14" s="87"/>
      <c r="O14" s="74"/>
      <c r="P14" s="61"/>
      <c r="Q14" s="76"/>
      <c r="R14" s="61"/>
      <c r="U14" s="61"/>
      <c r="W14" s="77"/>
    </row>
    <row r="15" spans="1:23" s="75" customFormat="1" ht="18.75">
      <c r="A15" s="85"/>
      <c r="B15" s="85"/>
      <c r="C15" s="163" t="s">
        <v>45</v>
      </c>
      <c r="D15" s="163"/>
      <c r="E15" s="86"/>
      <c r="F15" s="86"/>
      <c r="G15" s="86"/>
      <c r="H15" s="104"/>
      <c r="I15" s="86" t="s">
        <v>78</v>
      </c>
      <c r="J15" s="86"/>
      <c r="K15" s="87"/>
      <c r="L15" s="87"/>
      <c r="M15" s="87"/>
      <c r="N15" s="87"/>
      <c r="O15" s="74"/>
      <c r="P15" s="61"/>
      <c r="Q15" s="76"/>
      <c r="R15" s="61"/>
      <c r="U15" s="61"/>
      <c r="W15" s="77"/>
    </row>
    <row r="16" spans="3:4" ht="19.5">
      <c r="C16" s="117"/>
      <c r="D16" s="117"/>
    </row>
  </sheetData>
  <sheetProtection/>
  <mergeCells count="4">
    <mergeCell ref="C12:D12"/>
    <mergeCell ref="C15:D15"/>
    <mergeCell ref="A1:N1"/>
    <mergeCell ref="C9:D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15"/>
  <sheetViews>
    <sheetView zoomScalePageLayoutView="0" workbookViewId="0" topLeftCell="C1">
      <pane ySplit="4" topLeftCell="A5" activePane="bottomLeft" state="frozen"/>
      <selection pane="topLeft" activeCell="B1" sqref="B1"/>
      <selection pane="bottomLeft" activeCell="O28" sqref="O28"/>
    </sheetView>
  </sheetViews>
  <sheetFormatPr defaultColWidth="9.140625" defaultRowHeight="12.75"/>
  <cols>
    <col min="2" max="2" width="21.7109375" style="0" customWidth="1"/>
    <col min="3" max="3" width="13.7109375" style="0" customWidth="1"/>
    <col min="4" max="4" width="9.57421875" style="0" customWidth="1"/>
    <col min="5" max="5" width="10.57421875" style="0" customWidth="1"/>
    <col min="6" max="6" width="13.140625" style="0" customWidth="1"/>
    <col min="7" max="7" width="10.8515625" style="0" customWidth="1"/>
    <col min="8" max="8" width="10.28125" style="0" customWidth="1"/>
    <col min="9" max="9" width="9.00390625" style="0" customWidth="1"/>
    <col min="10" max="10" width="10.28125" style="0" customWidth="1"/>
    <col min="11" max="11" width="10.140625" style="0" customWidth="1"/>
    <col min="12" max="12" width="15.28125" style="0" customWidth="1"/>
  </cols>
  <sheetData>
    <row r="1" spans="1:13" ht="35.25" customHeight="1">
      <c r="A1" s="173" t="s">
        <v>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56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2.25" thickBot="1">
      <c r="A4" s="57" t="s">
        <v>16</v>
      </c>
      <c r="B4" s="58" t="s">
        <v>17</v>
      </c>
      <c r="C4" s="58" t="s">
        <v>21</v>
      </c>
      <c r="D4" s="58" t="s">
        <v>20</v>
      </c>
      <c r="E4" s="58" t="s">
        <v>54</v>
      </c>
      <c r="F4" s="58" t="s">
        <v>19</v>
      </c>
      <c r="G4" s="58" t="s">
        <v>29</v>
      </c>
      <c r="H4" s="58" t="s">
        <v>37</v>
      </c>
      <c r="I4" s="58" t="s">
        <v>15</v>
      </c>
      <c r="J4" s="58" t="s">
        <v>38</v>
      </c>
      <c r="K4" s="58" t="s">
        <v>39</v>
      </c>
      <c r="L4" s="59" t="s">
        <v>26</v>
      </c>
    </row>
    <row r="5" spans="1:12" ht="14.25" thickBot="1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8</v>
      </c>
      <c r="H5" s="58">
        <v>9</v>
      </c>
      <c r="I5" s="58">
        <v>10</v>
      </c>
      <c r="J5" s="58">
        <v>11</v>
      </c>
      <c r="K5" s="58">
        <v>12</v>
      </c>
      <c r="L5" s="59">
        <v>13</v>
      </c>
    </row>
    <row r="6" spans="1:12" ht="12.75">
      <c r="A6" s="54">
        <v>1</v>
      </c>
      <c r="B6" s="54" t="s">
        <v>75</v>
      </c>
      <c r="C6" s="3"/>
      <c r="D6" s="3"/>
      <c r="E6" s="105">
        <v>3002.38</v>
      </c>
      <c r="F6" s="54">
        <f>C6+D6+E6</f>
        <v>3002.38</v>
      </c>
      <c r="G6" s="144">
        <f>1/199494.43*(C6+D6+E6)</f>
        <v>0.015049944000942785</v>
      </c>
      <c r="H6" s="144">
        <f>G6*1601.58</f>
        <v>24.103689313029946</v>
      </c>
      <c r="I6" s="68">
        <f>H6*0.3677</f>
        <v>8.862926560401112</v>
      </c>
      <c r="J6" s="144">
        <f>H6*0.5</f>
        <v>12.051844656514973</v>
      </c>
      <c r="K6" s="144">
        <f>G6*408.88</f>
        <v>6.153621103105486</v>
      </c>
      <c r="L6" s="145">
        <f>(H6+I6+J6+K6)/(E6+C6+D6)</f>
        <v>0.017043839098665563</v>
      </c>
    </row>
    <row r="10" spans="3:11" ht="15.75">
      <c r="C10" s="168" t="s">
        <v>79</v>
      </c>
      <c r="D10" s="168"/>
      <c r="E10" s="168"/>
      <c r="F10" s="88"/>
      <c r="G10" s="88"/>
      <c r="H10" s="88"/>
      <c r="I10" s="88"/>
      <c r="J10" s="88" t="s">
        <v>80</v>
      </c>
      <c r="K10" s="89"/>
    </row>
    <row r="11" spans="3:11" ht="15.75">
      <c r="C11" s="1"/>
      <c r="D11" s="91"/>
      <c r="E11" s="92"/>
      <c r="F11" s="88"/>
      <c r="G11" s="88"/>
      <c r="H11" s="88"/>
      <c r="I11" s="88"/>
      <c r="J11" s="88"/>
      <c r="K11" s="89"/>
    </row>
    <row r="12" spans="3:11" ht="15.75">
      <c r="C12" s="168" t="s">
        <v>44</v>
      </c>
      <c r="D12" s="168"/>
      <c r="E12" s="168"/>
      <c r="F12" s="88"/>
      <c r="G12" s="88"/>
      <c r="H12" s="88"/>
      <c r="I12" s="88"/>
      <c r="J12" s="88" t="s">
        <v>77</v>
      </c>
      <c r="K12" s="89"/>
    </row>
    <row r="13" spans="3:11" ht="15.75">
      <c r="C13" s="1"/>
      <c r="D13" s="91"/>
      <c r="E13" s="91"/>
      <c r="F13" s="88"/>
      <c r="G13" s="88"/>
      <c r="H13" s="88"/>
      <c r="I13" s="88"/>
      <c r="J13" s="88"/>
      <c r="K13" s="89"/>
    </row>
    <row r="14" spans="3:11" ht="15.75">
      <c r="C14" s="168" t="s">
        <v>45</v>
      </c>
      <c r="D14" s="168"/>
      <c r="E14" s="168"/>
      <c r="F14" s="88"/>
      <c r="G14" s="88"/>
      <c r="H14" s="88"/>
      <c r="I14" s="88"/>
      <c r="J14" s="88" t="s">
        <v>81</v>
      </c>
      <c r="K14" s="89"/>
    </row>
    <row r="15" spans="6:8" ht="12.75">
      <c r="F15" s="72"/>
      <c r="G15" s="72"/>
      <c r="H15" s="72"/>
    </row>
  </sheetData>
  <sheetProtection/>
  <mergeCells count="4">
    <mergeCell ref="C14:E14"/>
    <mergeCell ref="A1:L1"/>
    <mergeCell ref="C10:E10"/>
    <mergeCell ref="C12:E12"/>
  </mergeCells>
  <printOptions/>
  <pageMargins left="0.75" right="0.75" top="1" bottom="1" header="0.5" footer="0.5"/>
  <pageSetup horizontalDpi="600" verticalDpi="600" orientation="landscape" paperSize="9" scale="95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15"/>
  <sheetViews>
    <sheetView zoomScale="85" zoomScaleNormal="85" zoomScalePageLayoutView="0" workbookViewId="0" topLeftCell="A1">
      <selection activeCell="G6" sqref="G6"/>
    </sheetView>
  </sheetViews>
  <sheetFormatPr defaultColWidth="11.7109375" defaultRowHeight="12.75"/>
  <cols>
    <col min="1" max="1" width="5.8515625" style="1" customWidth="1"/>
    <col min="2" max="2" width="22.00390625" style="1" customWidth="1"/>
    <col min="3" max="3" width="14.140625" style="1" customWidth="1"/>
    <col min="4" max="4" width="10.00390625" style="1" customWidth="1"/>
    <col min="5" max="6" width="11.7109375" style="1" customWidth="1"/>
    <col min="7" max="7" width="13.00390625" style="1" customWidth="1"/>
    <col min="8" max="8" width="11.7109375" style="1" customWidth="1"/>
    <col min="9" max="9" width="13.8515625" style="1" customWidth="1"/>
    <col min="10" max="10" width="11.7109375" style="1" customWidth="1"/>
    <col min="11" max="11" width="12.57421875" style="1" customWidth="1"/>
    <col min="12" max="16384" width="11.7109375" style="1" customWidth="1"/>
  </cols>
  <sheetData>
    <row r="1" spans="1:12" ht="48.75" customHeight="1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9" ht="12.75">
      <c r="A2" s="7"/>
      <c r="B2" s="13"/>
      <c r="C2" s="13"/>
      <c r="D2" s="13"/>
      <c r="E2" s="13"/>
      <c r="F2" s="13"/>
      <c r="G2" s="7"/>
      <c r="H2" s="7"/>
      <c r="I2" s="7"/>
    </row>
    <row r="3" spans="1:9" ht="12.75">
      <c r="A3" s="7"/>
      <c r="B3" s="13"/>
      <c r="C3" s="13"/>
      <c r="D3" s="13"/>
      <c r="E3" s="13"/>
      <c r="F3" s="13"/>
      <c r="G3" s="7"/>
      <c r="H3" s="7"/>
      <c r="I3" s="7"/>
    </row>
    <row r="4" spans="1:12" ht="118.5" customHeight="1">
      <c r="A4" s="146" t="s">
        <v>16</v>
      </c>
      <c r="B4" s="147" t="s">
        <v>17</v>
      </c>
      <c r="C4" s="147" t="s">
        <v>21</v>
      </c>
      <c r="D4" s="147" t="s">
        <v>20</v>
      </c>
      <c r="E4" s="148" t="s">
        <v>54</v>
      </c>
      <c r="F4" s="148" t="s">
        <v>19</v>
      </c>
      <c r="G4" s="146" t="s">
        <v>68</v>
      </c>
      <c r="H4" s="146" t="s">
        <v>37</v>
      </c>
      <c r="I4" s="146" t="s">
        <v>15</v>
      </c>
      <c r="J4" s="146" t="s">
        <v>38</v>
      </c>
      <c r="K4" s="146" t="s">
        <v>39</v>
      </c>
      <c r="L4" s="146" t="s">
        <v>58</v>
      </c>
    </row>
    <row r="5" spans="1:12" ht="13.5">
      <c r="A5" s="12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</row>
    <row r="6" spans="1:12" ht="12.75">
      <c r="A6" s="2">
        <v>1</v>
      </c>
      <c r="B6" s="3" t="s">
        <v>75</v>
      </c>
      <c r="C6" s="3"/>
      <c r="D6" s="3"/>
      <c r="E6" s="105">
        <v>3002.38</v>
      </c>
      <c r="F6" s="3">
        <f>C6+D6+E6</f>
        <v>3002.38</v>
      </c>
      <c r="G6" s="22">
        <f>1/199494.43*(E6+D6+C6)</f>
        <v>0.015049944000942785</v>
      </c>
      <c r="H6" s="22">
        <f>G6*1814.06</f>
        <v>27.301501414350266</v>
      </c>
      <c r="I6" s="22">
        <f>H6*0.3677</f>
        <v>10.038762070056594</v>
      </c>
      <c r="J6" s="22">
        <f>H6*0.5</f>
        <v>13.650750707175133</v>
      </c>
      <c r="K6" s="22">
        <f>G6*17.84</f>
        <v>0.26849100097681927</v>
      </c>
      <c r="L6" s="124">
        <f>(H6+I6+J6+K6)/(E6+C6+D6)</f>
        <v>0.017072957184819645</v>
      </c>
    </row>
    <row r="9" spans="10:11" ht="12.75">
      <c r="J9"/>
      <c r="K9"/>
    </row>
    <row r="10" spans="3:11" ht="15.75">
      <c r="C10" s="168" t="s">
        <v>79</v>
      </c>
      <c r="D10" s="168"/>
      <c r="E10" s="168"/>
      <c r="F10" s="88"/>
      <c r="G10" s="88"/>
      <c r="H10" s="88"/>
      <c r="I10" s="88"/>
      <c r="J10" s="88" t="s">
        <v>80</v>
      </c>
      <c r="K10" s="89"/>
    </row>
    <row r="11" spans="4:11" ht="15.75">
      <c r="D11" s="91"/>
      <c r="E11" s="92"/>
      <c r="F11" s="88"/>
      <c r="G11" s="88"/>
      <c r="H11" s="88"/>
      <c r="I11" s="88"/>
      <c r="J11" s="88"/>
      <c r="K11" s="89"/>
    </row>
    <row r="12" spans="3:11" ht="15.75">
      <c r="C12" s="168" t="s">
        <v>44</v>
      </c>
      <c r="D12" s="168"/>
      <c r="E12" s="168"/>
      <c r="F12" s="88"/>
      <c r="G12" s="88"/>
      <c r="H12" s="88"/>
      <c r="I12" s="88"/>
      <c r="J12" s="88" t="s">
        <v>77</v>
      </c>
      <c r="K12" s="89"/>
    </row>
    <row r="13" spans="4:11" ht="15.75">
      <c r="D13" s="91"/>
      <c r="E13" s="91"/>
      <c r="F13" s="88"/>
      <c r="G13" s="88"/>
      <c r="H13" s="88"/>
      <c r="I13" s="88"/>
      <c r="J13" s="88"/>
      <c r="K13" s="89"/>
    </row>
    <row r="14" spans="3:11" ht="15.75">
      <c r="C14" s="168" t="s">
        <v>45</v>
      </c>
      <c r="D14" s="168"/>
      <c r="E14" s="168"/>
      <c r="F14" s="88"/>
      <c r="G14" s="88"/>
      <c r="H14" s="88"/>
      <c r="I14" s="88"/>
      <c r="J14" s="88" t="s">
        <v>81</v>
      </c>
      <c r="K14" s="89"/>
    </row>
    <row r="15" spans="10:11" ht="12.75">
      <c r="J15"/>
      <c r="K15"/>
    </row>
  </sheetData>
  <sheetProtection/>
  <mergeCells count="4">
    <mergeCell ref="C10:E10"/>
    <mergeCell ref="C12:E12"/>
    <mergeCell ref="C14:E14"/>
    <mergeCell ref="A1:L1"/>
  </mergeCells>
  <printOptions/>
  <pageMargins left="0.3937007874015748" right="0.3937007874015748" top="0.24" bottom="0.7874015748031497" header="0.26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13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17.57421875" style="0" customWidth="1"/>
    <col min="3" max="3" width="12.7109375" style="0" customWidth="1"/>
    <col min="4" max="4" width="11.7109375" style="0" customWidth="1"/>
    <col min="5" max="5" width="13.00390625" style="0" customWidth="1"/>
    <col min="6" max="6" width="16.140625" style="0" customWidth="1"/>
    <col min="7" max="7" width="13.00390625" style="0" hidden="1" customWidth="1"/>
    <col min="8" max="8" width="13.00390625" style="0" customWidth="1"/>
    <col min="9" max="9" width="20.28125" style="0" customWidth="1"/>
    <col min="10" max="10" width="13.421875" style="0" customWidth="1"/>
  </cols>
  <sheetData>
    <row r="1" spans="1:9" ht="19.5">
      <c r="A1" s="166" t="s">
        <v>94</v>
      </c>
      <c r="B1" s="166"/>
      <c r="C1" s="166"/>
      <c r="D1" s="166"/>
      <c r="E1" s="166"/>
      <c r="F1" s="166"/>
      <c r="G1" s="166"/>
      <c r="H1" s="166"/>
      <c r="I1" s="166"/>
    </row>
    <row r="2" spans="1:9" ht="19.5">
      <c r="A2" s="123"/>
      <c r="B2" s="123"/>
      <c r="C2" s="123"/>
      <c r="D2" s="123"/>
      <c r="E2" s="123"/>
      <c r="F2" s="123"/>
      <c r="G2" s="123"/>
      <c r="H2" s="123"/>
      <c r="I2" s="123"/>
    </row>
    <row r="3" spans="1:10" ht="94.5" customHeight="1">
      <c r="A3" s="146" t="s">
        <v>16</v>
      </c>
      <c r="B3" s="147" t="s">
        <v>17</v>
      </c>
      <c r="C3" s="147" t="s">
        <v>21</v>
      </c>
      <c r="D3" s="147" t="s">
        <v>20</v>
      </c>
      <c r="E3" s="148" t="s">
        <v>27</v>
      </c>
      <c r="F3" s="148" t="s">
        <v>19</v>
      </c>
      <c r="G3" s="148" t="s">
        <v>23</v>
      </c>
      <c r="H3" s="148" t="s">
        <v>1</v>
      </c>
      <c r="I3" s="146" t="s">
        <v>2</v>
      </c>
      <c r="J3" s="151" t="s">
        <v>3</v>
      </c>
    </row>
    <row r="4" spans="1:10" ht="13.5">
      <c r="A4" s="129">
        <v>1</v>
      </c>
      <c r="B4" s="149">
        <v>2</v>
      </c>
      <c r="C4" s="149">
        <v>3</v>
      </c>
      <c r="D4" s="149">
        <v>4</v>
      </c>
      <c r="E4" s="149">
        <v>5</v>
      </c>
      <c r="F4" s="149">
        <v>6</v>
      </c>
      <c r="G4" s="149">
        <v>7</v>
      </c>
      <c r="H4" s="149">
        <v>7</v>
      </c>
      <c r="I4" s="129">
        <v>8</v>
      </c>
      <c r="J4" s="149">
        <v>9</v>
      </c>
    </row>
    <row r="5" spans="1:10" ht="12.75">
      <c r="A5" s="2">
        <v>1</v>
      </c>
      <c r="B5" s="3" t="s">
        <v>75</v>
      </c>
      <c r="C5" s="3"/>
      <c r="D5" s="3"/>
      <c r="E5" s="105">
        <v>3002.38</v>
      </c>
      <c r="F5" s="2">
        <f>C5+D5+E5</f>
        <v>3002.38</v>
      </c>
      <c r="G5" s="2"/>
      <c r="H5" s="28">
        <f>F5*I5</f>
        <v>203.4712926</v>
      </c>
      <c r="I5" s="103">
        <v>0.06777</v>
      </c>
      <c r="J5" s="150">
        <f>H5/F5</f>
        <v>0.06777</v>
      </c>
    </row>
    <row r="7" spans="2:10" ht="15.75">
      <c r="B7" s="168" t="s">
        <v>79</v>
      </c>
      <c r="C7" s="168"/>
      <c r="D7" s="168"/>
      <c r="E7" s="88"/>
      <c r="F7" s="88"/>
      <c r="G7" s="88"/>
      <c r="H7" s="88"/>
      <c r="I7" s="88" t="s">
        <v>80</v>
      </c>
      <c r="J7" s="89"/>
    </row>
    <row r="8" spans="2:10" ht="15.75">
      <c r="B8" s="1"/>
      <c r="C8" s="91"/>
      <c r="D8" s="92"/>
      <c r="E8" s="88"/>
      <c r="F8" s="88"/>
      <c r="G8" s="88"/>
      <c r="H8" s="88"/>
      <c r="I8" s="88"/>
      <c r="J8" s="89"/>
    </row>
    <row r="9" spans="2:10" ht="15.75">
      <c r="B9" s="168" t="s">
        <v>44</v>
      </c>
      <c r="C9" s="168"/>
      <c r="D9" s="168"/>
      <c r="E9" s="88"/>
      <c r="F9" s="88"/>
      <c r="G9" s="88"/>
      <c r="H9" s="88"/>
      <c r="I9" s="88" t="s">
        <v>77</v>
      </c>
      <c r="J9" s="89"/>
    </row>
    <row r="10" spans="2:10" ht="15.75">
      <c r="B10" s="1"/>
      <c r="C10" s="91"/>
      <c r="D10" s="91"/>
      <c r="E10" s="88"/>
      <c r="F10" s="88"/>
      <c r="G10" s="88"/>
      <c r="H10" s="88"/>
      <c r="I10" s="88"/>
      <c r="J10" s="89"/>
    </row>
    <row r="11" spans="2:10" ht="15.75">
      <c r="B11" s="168" t="s">
        <v>45</v>
      </c>
      <c r="C11" s="168"/>
      <c r="D11" s="168"/>
      <c r="E11" s="88"/>
      <c r="F11" s="88"/>
      <c r="G11" s="88"/>
      <c r="H11" s="88"/>
      <c r="I11" s="88" t="s">
        <v>81</v>
      </c>
      <c r="J11" s="89"/>
    </row>
    <row r="12" spans="2:10" ht="12.75">
      <c r="B12" s="1"/>
      <c r="C12" s="1"/>
      <c r="D12" s="1"/>
      <c r="E12" s="1"/>
      <c r="F12" s="1"/>
      <c r="G12" s="1"/>
      <c r="H12" s="1"/>
      <c r="J12" s="1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</sheetData>
  <sheetProtection/>
  <mergeCells count="4">
    <mergeCell ref="B11:D11"/>
    <mergeCell ref="A1:I1"/>
    <mergeCell ref="B7:D7"/>
    <mergeCell ref="B9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P12"/>
  <sheetViews>
    <sheetView zoomScale="85" zoomScaleNormal="85" zoomScalePageLayoutView="0" workbookViewId="0" topLeftCell="D1">
      <pane ySplit="3" topLeftCell="A4" activePane="bottomLeft" state="frozen"/>
      <selection pane="topLeft" activeCell="A1" sqref="A1"/>
      <selection pane="bottomLeft" activeCell="P4" sqref="P4"/>
    </sheetView>
  </sheetViews>
  <sheetFormatPr defaultColWidth="9.140625" defaultRowHeight="12.75"/>
  <cols>
    <col min="1" max="1" width="7.00390625" style="1" customWidth="1"/>
    <col min="2" max="2" width="22.7109375" style="1" customWidth="1"/>
    <col min="3" max="3" width="14.421875" style="1" customWidth="1"/>
    <col min="4" max="4" width="9.00390625" style="1" customWidth="1"/>
    <col min="5" max="6" width="13.57421875" style="1" customWidth="1"/>
    <col min="7" max="7" width="12.57421875" style="1" customWidth="1"/>
    <col min="8" max="8" width="12.7109375" style="1" customWidth="1"/>
    <col min="9" max="9" width="11.28125" style="1" customWidth="1"/>
    <col min="10" max="10" width="10.8515625" style="1" customWidth="1"/>
    <col min="11" max="11" width="13.421875" style="1" customWidth="1"/>
    <col min="12" max="12" width="10.00390625" style="1" customWidth="1"/>
    <col min="13" max="13" width="13.8515625" style="1" customWidth="1"/>
    <col min="14" max="14" width="10.7109375" style="1" customWidth="1"/>
    <col min="15" max="15" width="11.57421875" style="1" customWidth="1"/>
    <col min="16" max="16" width="14.28125" style="1" customWidth="1"/>
    <col min="17" max="16384" width="9.140625" style="1" customWidth="1"/>
  </cols>
  <sheetData>
    <row r="1" spans="1:16" ht="18.75" customHeight="1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9.5">
      <c r="A2" s="6"/>
      <c r="B2" s="6"/>
      <c r="C2" s="6"/>
      <c r="D2" s="6"/>
      <c r="E2" s="6"/>
      <c r="F2" s="6"/>
      <c r="G2" s="6"/>
      <c r="H2" s="7"/>
      <c r="O2" s="6"/>
      <c r="P2" s="6"/>
    </row>
    <row r="3" spans="1:16" ht="115.5" customHeight="1">
      <c r="A3" s="149"/>
      <c r="B3" s="149" t="s">
        <v>17</v>
      </c>
      <c r="C3" s="147" t="s">
        <v>21</v>
      </c>
      <c r="D3" s="147" t="s">
        <v>20</v>
      </c>
      <c r="E3" s="147" t="s">
        <v>55</v>
      </c>
      <c r="F3" s="147" t="s">
        <v>19</v>
      </c>
      <c r="G3" s="147" t="s">
        <v>40</v>
      </c>
      <c r="H3" s="147" t="s">
        <v>24</v>
      </c>
      <c r="I3" s="147" t="s">
        <v>41</v>
      </c>
      <c r="J3" s="147" t="s">
        <v>12</v>
      </c>
      <c r="K3" s="147" t="s">
        <v>5</v>
      </c>
      <c r="L3" s="147" t="s">
        <v>4</v>
      </c>
      <c r="M3" s="147" t="s">
        <v>14</v>
      </c>
      <c r="N3" s="147" t="s">
        <v>42</v>
      </c>
      <c r="O3" s="147" t="s">
        <v>43</v>
      </c>
      <c r="P3" s="147" t="s">
        <v>56</v>
      </c>
    </row>
    <row r="4" spans="1:16" s="101" customFormat="1" ht="23.25" customHeight="1">
      <c r="A4" s="107">
        <v>1</v>
      </c>
      <c r="B4" s="107" t="s">
        <v>75</v>
      </c>
      <c r="C4" s="107"/>
      <c r="D4" s="107"/>
      <c r="E4" s="107">
        <v>3002.38</v>
      </c>
      <c r="F4" s="107">
        <f>C4+D4+E4</f>
        <v>3002.38</v>
      </c>
      <c r="G4" s="107">
        <v>32</v>
      </c>
      <c r="H4" s="107">
        <v>5000</v>
      </c>
      <c r="I4" s="107">
        <v>50</v>
      </c>
      <c r="J4" s="152">
        <f>0.5/4276*G4</f>
        <v>0.0037418147801683817</v>
      </c>
      <c r="K4" s="152">
        <f>0.5/6082*I4</f>
        <v>0.004110489970404472</v>
      </c>
      <c r="L4" s="152">
        <f>(J4+K4)*1753.08</f>
        <v>13.765718412134259</v>
      </c>
      <c r="M4" s="152">
        <f>L4*0.3677</f>
        <v>5.061654660141767</v>
      </c>
      <c r="N4" s="152">
        <f>L4*0.5</f>
        <v>6.882859206067129</v>
      </c>
      <c r="O4" s="152">
        <f>J4*184.64</f>
        <v>0.69088868101029</v>
      </c>
      <c r="P4" s="127">
        <f>(L4+M4+N4+O4)/(E4+C4+D4)</f>
        <v>0.008793397557722023</v>
      </c>
    </row>
    <row r="7" ht="12.75">
      <c r="L7"/>
    </row>
    <row r="8" spans="5:13" ht="15.75">
      <c r="E8" s="165" t="s">
        <v>79</v>
      </c>
      <c r="F8" s="165"/>
      <c r="G8" s="165"/>
      <c r="H8" s="88"/>
      <c r="I8" s="88"/>
      <c r="J8" s="88"/>
      <c r="K8" s="88"/>
      <c r="L8" s="88" t="s">
        <v>80</v>
      </c>
      <c r="M8" s="89"/>
    </row>
    <row r="9" spans="5:13" ht="15.75">
      <c r="E9" s="118"/>
      <c r="F9" s="119"/>
      <c r="G9" s="120"/>
      <c r="H9" s="88"/>
      <c r="I9" s="88"/>
      <c r="J9" s="88"/>
      <c r="K9" s="88"/>
      <c r="L9" s="88"/>
      <c r="M9" s="89"/>
    </row>
    <row r="10" spans="5:13" ht="15.75">
      <c r="E10" s="165" t="s">
        <v>44</v>
      </c>
      <c r="F10" s="165"/>
      <c r="G10" s="165"/>
      <c r="H10" s="88"/>
      <c r="I10" s="88"/>
      <c r="J10" s="88"/>
      <c r="K10" s="88"/>
      <c r="L10" s="88" t="s">
        <v>77</v>
      </c>
      <c r="M10" s="89"/>
    </row>
    <row r="11" spans="5:13" ht="15.75">
      <c r="E11" s="118"/>
      <c r="F11" s="119"/>
      <c r="G11" s="119"/>
      <c r="H11" s="88"/>
      <c r="I11" s="88"/>
      <c r="J11" s="88"/>
      <c r="K11" s="88"/>
      <c r="L11" s="88"/>
      <c r="M11" s="89"/>
    </row>
    <row r="12" spans="5:13" ht="15.75">
      <c r="E12" s="165" t="s">
        <v>45</v>
      </c>
      <c r="F12" s="165"/>
      <c r="G12" s="165"/>
      <c r="H12" s="88"/>
      <c r="I12" s="88"/>
      <c r="J12" s="88"/>
      <c r="K12" s="88"/>
      <c r="L12" s="88" t="s">
        <v>81</v>
      </c>
      <c r="M12" s="89"/>
    </row>
  </sheetData>
  <sheetProtection/>
  <mergeCells count="4">
    <mergeCell ref="E12:G12"/>
    <mergeCell ref="A1:P1"/>
    <mergeCell ref="E8:G8"/>
    <mergeCell ref="E10:G10"/>
  </mergeCells>
  <printOptions/>
  <pageMargins left="0.76" right="0" top="0.48" bottom="0.61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57421875" style="21" customWidth="1"/>
    <col min="2" max="2" width="7.8515625" style="23" customWidth="1"/>
    <col min="3" max="3" width="18.57421875" style="21" customWidth="1"/>
    <col min="4" max="4" width="9.57421875" style="53" customWidth="1"/>
    <col min="5" max="5" width="10.140625" style="53" customWidth="1"/>
    <col min="6" max="6" width="11.140625" style="53" customWidth="1"/>
    <col min="7" max="7" width="12.28125" style="21" customWidth="1"/>
    <col min="8" max="8" width="12.00390625" style="53" hidden="1" customWidth="1"/>
    <col min="9" max="9" width="13.421875" style="53" customWidth="1"/>
    <col min="10" max="10" width="9.7109375" style="53" customWidth="1"/>
    <col min="11" max="11" width="13.140625" style="53" customWidth="1"/>
    <col min="12" max="12" width="11.140625" style="53" customWidth="1"/>
    <col min="13" max="13" width="10.28125" style="53" customWidth="1"/>
    <col min="14" max="14" width="9.421875" style="53" customWidth="1"/>
    <col min="15" max="15" width="11.00390625" style="53" customWidth="1"/>
    <col min="16" max="16" width="11.7109375" style="21" hidden="1" customWidth="1"/>
    <col min="17" max="17" width="9.140625" style="21" hidden="1" customWidth="1"/>
    <col min="18" max="18" width="19.7109375" style="21" hidden="1" customWidth="1"/>
    <col min="19" max="19" width="0" style="21" hidden="1" customWidth="1"/>
    <col min="20" max="20" width="0" style="70" hidden="1" customWidth="1"/>
    <col min="21" max="16384" width="9.140625" style="21" customWidth="1"/>
  </cols>
  <sheetData>
    <row r="1" ht="12.75">
      <c r="T1" s="71"/>
    </row>
    <row r="2" spans="1:20" ht="19.5">
      <c r="A2" s="167" t="s">
        <v>96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T2" s="71"/>
    </row>
    <row r="3" ht="12.75">
      <c r="T3" s="71"/>
    </row>
    <row r="4" spans="1:20" ht="148.5">
      <c r="A4" s="147" t="s">
        <v>16</v>
      </c>
      <c r="B4" s="154"/>
      <c r="C4" s="147" t="s">
        <v>17</v>
      </c>
      <c r="D4" s="148" t="s">
        <v>21</v>
      </c>
      <c r="E4" s="148" t="s">
        <v>20</v>
      </c>
      <c r="F4" s="148" t="s">
        <v>54</v>
      </c>
      <c r="G4" s="147" t="s">
        <v>19</v>
      </c>
      <c r="H4" s="148" t="s">
        <v>30</v>
      </c>
      <c r="I4" s="148" t="s">
        <v>72</v>
      </c>
      <c r="J4" s="148" t="s">
        <v>64</v>
      </c>
      <c r="K4" s="148" t="s">
        <v>37</v>
      </c>
      <c r="L4" s="148" t="s">
        <v>15</v>
      </c>
      <c r="M4" s="148" t="s">
        <v>38</v>
      </c>
      <c r="N4" s="148" t="s">
        <v>39</v>
      </c>
      <c r="O4" s="148" t="s">
        <v>36</v>
      </c>
      <c r="T4" s="71"/>
    </row>
    <row r="5" spans="1:20" ht="13.5">
      <c r="A5" s="149">
        <v>1</v>
      </c>
      <c r="B5" s="154"/>
      <c r="C5" s="149">
        <v>2</v>
      </c>
      <c r="D5" s="140">
        <v>3</v>
      </c>
      <c r="E5" s="140">
        <v>4</v>
      </c>
      <c r="F5" s="140">
        <v>5</v>
      </c>
      <c r="G5" s="149">
        <v>6</v>
      </c>
      <c r="H5" s="140">
        <v>7</v>
      </c>
      <c r="I5" s="140"/>
      <c r="J5" s="140">
        <v>8</v>
      </c>
      <c r="K5" s="140">
        <v>9</v>
      </c>
      <c r="L5" s="140">
        <v>10</v>
      </c>
      <c r="M5" s="140">
        <v>11</v>
      </c>
      <c r="N5" s="140">
        <v>12</v>
      </c>
      <c r="O5" s="140">
        <v>13</v>
      </c>
      <c r="T5" s="71"/>
    </row>
    <row r="6" spans="1:20" ht="16.5" customHeight="1">
      <c r="A6" s="107">
        <v>1</v>
      </c>
      <c r="B6" s="111">
        <v>4</v>
      </c>
      <c r="C6" s="107" t="s">
        <v>75</v>
      </c>
      <c r="D6" s="105"/>
      <c r="E6" s="105"/>
      <c r="F6" s="105">
        <v>3002.38</v>
      </c>
      <c r="G6" s="107">
        <f>D6+E6+F6</f>
        <v>3002.38</v>
      </c>
      <c r="H6" s="105"/>
      <c r="I6" s="4">
        <v>1077</v>
      </c>
      <c r="J6" s="106">
        <f>I6/3000</f>
        <v>0.359</v>
      </c>
      <c r="K6" s="106">
        <f>J6*1558.3</f>
        <v>559.4296999999999</v>
      </c>
      <c r="L6" s="106">
        <f>K6*0.3677</f>
        <v>205.70230069</v>
      </c>
      <c r="M6" s="106">
        <f>K6*0.5</f>
        <v>279.71484999999996</v>
      </c>
      <c r="N6" s="106">
        <f>J6*84.08</f>
        <v>30.18472</v>
      </c>
      <c r="O6" s="127">
        <f>(K6+L6+M6+N6)/(F6+D6+E6)</f>
        <v>0.35805979612507405</v>
      </c>
      <c r="T6" s="71"/>
    </row>
    <row r="7" spans="9:11" ht="18" customHeight="1">
      <c r="I7" s="83"/>
      <c r="J7" s="162"/>
      <c r="K7" s="1"/>
    </row>
    <row r="8" spans="3:11" ht="15.75">
      <c r="C8" s="165" t="s">
        <v>79</v>
      </c>
      <c r="D8" s="165"/>
      <c r="E8" s="165"/>
      <c r="F8" s="88"/>
      <c r="G8" s="88"/>
      <c r="H8" s="88"/>
      <c r="I8" s="88"/>
      <c r="J8" s="88" t="s">
        <v>80</v>
      </c>
      <c r="K8" s="89"/>
    </row>
    <row r="9" spans="3:11" ht="15.75">
      <c r="C9" s="118"/>
      <c r="D9" s="119"/>
      <c r="E9" s="120"/>
      <c r="F9" s="88"/>
      <c r="G9" s="88"/>
      <c r="H9" s="88"/>
      <c r="I9" s="88"/>
      <c r="J9" s="88"/>
      <c r="K9" s="89"/>
    </row>
    <row r="10" spans="3:11" ht="15.75">
      <c r="C10" s="165" t="s">
        <v>44</v>
      </c>
      <c r="D10" s="165"/>
      <c r="E10" s="165"/>
      <c r="F10" s="88"/>
      <c r="G10" s="88"/>
      <c r="H10" s="88"/>
      <c r="I10" s="88"/>
      <c r="J10" s="88" t="s">
        <v>77</v>
      </c>
      <c r="K10" s="89"/>
    </row>
    <row r="11" spans="3:11" ht="15.75">
      <c r="C11" s="118"/>
      <c r="D11" s="119"/>
      <c r="E11" s="119"/>
      <c r="F11" s="88"/>
      <c r="G11" s="88"/>
      <c r="H11" s="88"/>
      <c r="I11" s="88"/>
      <c r="J11" s="88"/>
      <c r="K11" s="89"/>
    </row>
    <row r="12" spans="3:11" ht="15.75">
      <c r="C12" s="165" t="s">
        <v>45</v>
      </c>
      <c r="D12" s="165"/>
      <c r="E12" s="165"/>
      <c r="F12" s="88"/>
      <c r="G12" s="88"/>
      <c r="H12" s="88"/>
      <c r="I12" s="88"/>
      <c r="J12" s="88" t="s">
        <v>81</v>
      </c>
      <c r="K12" s="89"/>
    </row>
    <row r="13" spans="10:11" ht="12.75">
      <c r="J13" s="1"/>
      <c r="K13" s="1"/>
    </row>
  </sheetData>
  <sheetProtection/>
  <mergeCells count="4">
    <mergeCell ref="C12:E12"/>
    <mergeCell ref="A2:O2"/>
    <mergeCell ref="C8:E8"/>
    <mergeCell ref="C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N1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7.00390625" style="1" customWidth="1"/>
    <col min="2" max="2" width="21.00390625" style="1" customWidth="1"/>
    <col min="3" max="3" width="8.140625" style="53" customWidth="1"/>
    <col min="4" max="4" width="9.28125" style="53" customWidth="1"/>
    <col min="5" max="5" width="13.57421875" style="1" customWidth="1"/>
    <col min="6" max="6" width="13.28125" style="1" customWidth="1"/>
    <col min="7" max="7" width="12.57421875" style="1" customWidth="1"/>
    <col min="8" max="8" width="14.421875" style="1" customWidth="1"/>
    <col min="9" max="9" width="14.8515625" style="1" customWidth="1"/>
    <col min="10" max="10" width="12.00390625" style="1" customWidth="1"/>
    <col min="11" max="11" width="10.7109375" style="1" customWidth="1"/>
    <col min="12" max="12" width="13.57421875" style="1" customWidth="1"/>
    <col min="13" max="13" width="11.00390625" style="1" customWidth="1"/>
    <col min="14" max="14" width="14.28125" style="1" customWidth="1"/>
    <col min="15" max="15" width="9.140625" style="1" customWidth="1"/>
    <col min="16" max="16" width="6.00390625" style="1" customWidth="1"/>
    <col min="17" max="16384" width="9.140625" style="1" customWidth="1"/>
  </cols>
  <sheetData>
    <row r="1" spans="1:14" ht="18.75" customHeight="1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0.25" thickBot="1">
      <c r="A2" s="6"/>
      <c r="B2" s="6"/>
      <c r="C2" s="90"/>
      <c r="D2" s="90"/>
      <c r="E2" s="6"/>
      <c r="F2" s="6"/>
      <c r="G2" s="6"/>
      <c r="H2" s="7"/>
      <c r="M2" s="6"/>
      <c r="N2" s="6"/>
    </row>
    <row r="3" spans="1:14" ht="106.5" customHeight="1" thickBot="1">
      <c r="A3" s="8"/>
      <c r="B3" s="35" t="s">
        <v>17</v>
      </c>
      <c r="C3" s="48" t="s">
        <v>21</v>
      </c>
      <c r="D3" s="48" t="s">
        <v>20</v>
      </c>
      <c r="E3" s="9" t="s">
        <v>55</v>
      </c>
      <c r="F3" s="9" t="s">
        <v>19</v>
      </c>
      <c r="G3" s="9" t="s">
        <v>22</v>
      </c>
      <c r="H3" s="9" t="s">
        <v>35</v>
      </c>
      <c r="I3" s="9" t="s">
        <v>63</v>
      </c>
      <c r="J3" s="9" t="s">
        <v>31</v>
      </c>
      <c r="K3" s="9" t="s">
        <v>14</v>
      </c>
      <c r="L3" s="9" t="s">
        <v>42</v>
      </c>
      <c r="M3" s="15" t="s">
        <v>43</v>
      </c>
      <c r="N3" s="10" t="s">
        <v>13</v>
      </c>
    </row>
    <row r="4" spans="1:14" s="113" customFormat="1" ht="12.75">
      <c r="A4" s="4">
        <v>1</v>
      </c>
      <c r="B4" s="4" t="s">
        <v>75</v>
      </c>
      <c r="C4" s="4">
        <v>0</v>
      </c>
      <c r="D4" s="4">
        <v>0</v>
      </c>
      <c r="E4" s="105">
        <v>3002.38</v>
      </c>
      <c r="F4" s="4">
        <f>C4+D4+E4</f>
        <v>3002.38</v>
      </c>
      <c r="G4" s="125">
        <v>1380</v>
      </c>
      <c r="H4" s="112" t="s">
        <v>76</v>
      </c>
      <c r="I4" s="102">
        <f>4/72983.9*G4</f>
        <v>0.07563311908516811</v>
      </c>
      <c r="J4" s="102">
        <f>I4*1753.08</f>
        <v>132.5909084058265</v>
      </c>
      <c r="K4" s="102">
        <f>J4*0.3677</f>
        <v>48.75367702082241</v>
      </c>
      <c r="L4" s="102">
        <f>J4*0.5</f>
        <v>66.29545420291325</v>
      </c>
      <c r="M4" s="102">
        <f>I4*376.38</f>
        <v>28.46679336127557</v>
      </c>
      <c r="N4" s="124">
        <f>(J4+K4+L4+M4)/(E4+C4+D4)</f>
        <v>0.09196265395813912</v>
      </c>
    </row>
    <row r="7" spans="2:10" ht="15.75">
      <c r="B7" s="165" t="s">
        <v>79</v>
      </c>
      <c r="C7" s="165"/>
      <c r="D7" s="165"/>
      <c r="E7" s="88"/>
      <c r="F7" s="88"/>
      <c r="G7" s="88"/>
      <c r="H7" s="88"/>
      <c r="I7" s="88" t="s">
        <v>80</v>
      </c>
      <c r="J7" s="89"/>
    </row>
    <row r="8" spans="2:10" ht="15.75">
      <c r="B8" s="118"/>
      <c r="C8" s="119"/>
      <c r="D8" s="119"/>
      <c r="E8" s="88"/>
      <c r="F8" s="88"/>
      <c r="G8" s="88"/>
      <c r="H8" s="88"/>
      <c r="I8" s="88"/>
      <c r="J8" s="89"/>
    </row>
    <row r="9" spans="2:10" ht="15.75">
      <c r="B9" s="118"/>
      <c r="C9" s="119"/>
      <c r="D9" s="120"/>
      <c r="E9" s="88"/>
      <c r="F9" s="88"/>
      <c r="G9" s="88"/>
      <c r="H9" s="88"/>
      <c r="I9" s="88"/>
      <c r="J9" s="89"/>
    </row>
    <row r="10" spans="2:10" ht="15.75">
      <c r="B10" s="165" t="s">
        <v>44</v>
      </c>
      <c r="C10" s="165"/>
      <c r="D10" s="165"/>
      <c r="E10" s="88"/>
      <c r="F10" s="88"/>
      <c r="G10" s="88"/>
      <c r="H10" s="88"/>
      <c r="I10" s="88" t="s">
        <v>77</v>
      </c>
      <c r="J10" s="89"/>
    </row>
    <row r="11" spans="2:10" ht="15.75">
      <c r="B11" s="118"/>
      <c r="C11" s="119"/>
      <c r="D11" s="119"/>
      <c r="E11" s="88"/>
      <c r="F11" s="88"/>
      <c r="G11" s="88"/>
      <c r="H11" s="88"/>
      <c r="I11" s="88"/>
      <c r="J11" s="89"/>
    </row>
    <row r="12" spans="2:10" ht="15.75">
      <c r="B12" s="118"/>
      <c r="C12" s="119"/>
      <c r="D12" s="119"/>
      <c r="E12" s="88"/>
      <c r="F12" s="88"/>
      <c r="G12" s="88"/>
      <c r="H12" s="88"/>
      <c r="I12" s="88"/>
      <c r="J12" s="89"/>
    </row>
    <row r="13" spans="2:10" ht="15.75">
      <c r="B13" s="165" t="s">
        <v>45</v>
      </c>
      <c r="C13" s="165"/>
      <c r="D13" s="165"/>
      <c r="E13" s="88"/>
      <c r="F13" s="88"/>
      <c r="G13" s="88"/>
      <c r="H13" s="88"/>
      <c r="I13" s="88" t="s">
        <v>81</v>
      </c>
      <c r="J13" s="89"/>
    </row>
  </sheetData>
  <sheetProtection/>
  <mergeCells count="4">
    <mergeCell ref="B13:D13"/>
    <mergeCell ref="A1:N1"/>
    <mergeCell ref="B7:D7"/>
    <mergeCell ref="B10:D10"/>
  </mergeCells>
  <printOptions/>
  <pageMargins left="0.76" right="0" top="0.48" bottom="0.61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14"/>
  <sheetViews>
    <sheetView zoomScalePageLayoutView="0" workbookViewId="0" topLeftCell="C1">
      <selection activeCell="O6" sqref="O6"/>
    </sheetView>
  </sheetViews>
  <sheetFormatPr defaultColWidth="9.140625" defaultRowHeight="12.75"/>
  <cols>
    <col min="1" max="1" width="5.57421875" style="21" customWidth="1"/>
    <col min="2" max="2" width="7.8515625" style="23" customWidth="1"/>
    <col min="3" max="3" width="18.57421875" style="21" customWidth="1"/>
    <col min="4" max="4" width="9.57421875" style="53" customWidth="1"/>
    <col min="5" max="5" width="10.140625" style="53" customWidth="1"/>
    <col min="6" max="6" width="11.140625" style="53" customWidth="1"/>
    <col min="7" max="7" width="12.28125" style="21" customWidth="1"/>
    <col min="8" max="8" width="12.00390625" style="53" hidden="1" customWidth="1"/>
    <col min="9" max="9" width="13.421875" style="53" customWidth="1"/>
    <col min="10" max="10" width="9.7109375" style="53" customWidth="1"/>
    <col min="11" max="11" width="13.140625" style="53" customWidth="1"/>
    <col min="12" max="12" width="11.140625" style="53" customWidth="1"/>
    <col min="13" max="13" width="10.28125" style="53" customWidth="1"/>
    <col min="14" max="14" width="9.421875" style="53" customWidth="1"/>
    <col min="15" max="15" width="11.00390625" style="53" customWidth="1"/>
    <col min="16" max="16" width="11.7109375" style="21" hidden="1" customWidth="1"/>
    <col min="17" max="17" width="9.140625" style="21" hidden="1" customWidth="1"/>
    <col min="18" max="18" width="19.7109375" style="21" hidden="1" customWidth="1"/>
    <col min="19" max="19" width="0" style="21" hidden="1" customWidth="1"/>
    <col min="20" max="20" width="0" style="70" hidden="1" customWidth="1"/>
    <col min="21" max="16384" width="9.140625" style="21" customWidth="1"/>
  </cols>
  <sheetData>
    <row r="1" spans="1:15" ht="19.5">
      <c r="A1" s="167" t="s">
        <v>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8.75">
      <c r="A2" s="36"/>
      <c r="B2" s="24"/>
      <c r="C2" s="36"/>
      <c r="D2" s="80"/>
      <c r="E2" s="80"/>
      <c r="F2" s="80"/>
      <c r="G2" s="36"/>
      <c r="H2" s="80"/>
      <c r="I2" s="80"/>
      <c r="J2" s="80"/>
      <c r="K2" s="80"/>
      <c r="L2" s="80"/>
      <c r="M2" s="80"/>
      <c r="N2" s="80"/>
      <c r="O2" s="80"/>
    </row>
    <row r="3" ht="13.5" thickBot="1">
      <c r="B3" s="24"/>
    </row>
    <row r="4" spans="1:15" ht="108.75" thickBot="1">
      <c r="A4" s="40" t="s">
        <v>16</v>
      </c>
      <c r="B4" s="41" t="s">
        <v>70</v>
      </c>
      <c r="C4" s="30" t="s">
        <v>17</v>
      </c>
      <c r="D4" s="47" t="s">
        <v>21</v>
      </c>
      <c r="E4" s="47" t="s">
        <v>20</v>
      </c>
      <c r="F4" s="47" t="s">
        <v>54</v>
      </c>
      <c r="G4" s="30" t="s">
        <v>19</v>
      </c>
      <c r="H4" s="47" t="s">
        <v>18</v>
      </c>
      <c r="I4" s="47" t="s">
        <v>73</v>
      </c>
      <c r="J4" s="47" t="s">
        <v>64</v>
      </c>
      <c r="K4" s="47" t="s">
        <v>37</v>
      </c>
      <c r="L4" s="47" t="s">
        <v>15</v>
      </c>
      <c r="M4" s="47" t="s">
        <v>38</v>
      </c>
      <c r="N4" s="47" t="s">
        <v>39</v>
      </c>
      <c r="O4" s="47" t="s">
        <v>69</v>
      </c>
    </row>
    <row r="5" spans="1:15" ht="12.75" customHeight="1" thickBot="1">
      <c r="A5" s="38">
        <v>1</v>
      </c>
      <c r="B5" s="42">
        <v>2</v>
      </c>
      <c r="C5" s="39">
        <v>2</v>
      </c>
      <c r="D5" s="81">
        <v>3</v>
      </c>
      <c r="E5" s="81">
        <v>4</v>
      </c>
      <c r="F5" s="81">
        <v>5</v>
      </c>
      <c r="G5" s="39">
        <v>6</v>
      </c>
      <c r="H5" s="81">
        <v>7</v>
      </c>
      <c r="I5" s="81"/>
      <c r="J5" s="81">
        <v>8</v>
      </c>
      <c r="K5" s="81">
        <v>9</v>
      </c>
      <c r="L5" s="81">
        <v>10</v>
      </c>
      <c r="M5" s="81">
        <v>11</v>
      </c>
      <c r="N5" s="81">
        <v>12</v>
      </c>
      <c r="O5" s="81">
        <v>13</v>
      </c>
    </row>
    <row r="6" spans="1:20" ht="12.75">
      <c r="A6" s="107">
        <v>1</v>
      </c>
      <c r="B6" s="108">
        <v>6</v>
      </c>
      <c r="C6" s="109" t="s">
        <v>75</v>
      </c>
      <c r="D6" s="105"/>
      <c r="E6" s="105"/>
      <c r="F6" s="105">
        <v>3002.38</v>
      </c>
      <c r="G6" s="107">
        <f>D6+E6+F6</f>
        <v>3002.38</v>
      </c>
      <c r="H6" s="110"/>
      <c r="I6" s="126">
        <v>468</v>
      </c>
      <c r="J6" s="106">
        <f>I6/840</f>
        <v>0.5571428571428572</v>
      </c>
      <c r="K6" s="106">
        <f>J6*1558.3</f>
        <v>868.1957142857143</v>
      </c>
      <c r="L6" s="106">
        <f>K6*0.3677</f>
        <v>319.2355641428572</v>
      </c>
      <c r="M6" s="106">
        <f>K6*0.5</f>
        <v>434.09785714285715</v>
      </c>
      <c r="N6" s="106">
        <f>J6*49.88</f>
        <v>27.790285714285716</v>
      </c>
      <c r="O6" s="127">
        <f>(K6+L6+M6+N6)/(F6+D6+E6)</f>
        <v>0.5493373328112079</v>
      </c>
      <c r="Q6" s="27"/>
      <c r="T6" s="71"/>
    </row>
    <row r="7" ht="12.75">
      <c r="T7" s="71"/>
    </row>
    <row r="8" spans="3:20" ht="15.75">
      <c r="C8" s="165" t="s">
        <v>79</v>
      </c>
      <c r="D8" s="165"/>
      <c r="E8" s="165"/>
      <c r="F8" s="88"/>
      <c r="G8" s="88"/>
      <c r="H8" s="88"/>
      <c r="I8" s="88"/>
      <c r="J8" s="88" t="s">
        <v>80</v>
      </c>
      <c r="K8" s="89"/>
      <c r="T8" s="71"/>
    </row>
    <row r="9" spans="3:20" ht="15.75">
      <c r="C9" s="118"/>
      <c r="D9" s="119"/>
      <c r="E9" s="120"/>
      <c r="F9" s="88"/>
      <c r="G9" s="88"/>
      <c r="H9" s="88"/>
      <c r="I9" s="88"/>
      <c r="J9" s="88"/>
      <c r="K9" s="89"/>
      <c r="T9" s="71"/>
    </row>
    <row r="10" spans="3:20" ht="15.75">
      <c r="C10" s="165" t="s">
        <v>44</v>
      </c>
      <c r="D10" s="165"/>
      <c r="E10" s="165"/>
      <c r="F10" s="88"/>
      <c r="G10" s="88"/>
      <c r="H10" s="88"/>
      <c r="I10" s="88"/>
      <c r="J10" s="88" t="s">
        <v>77</v>
      </c>
      <c r="K10" s="89"/>
      <c r="T10" s="71"/>
    </row>
    <row r="11" spans="3:20" ht="15.75">
      <c r="C11" s="118"/>
      <c r="D11" s="119"/>
      <c r="E11" s="119"/>
      <c r="F11" s="88"/>
      <c r="G11" s="88"/>
      <c r="H11" s="88"/>
      <c r="I11" s="88"/>
      <c r="J11" s="88"/>
      <c r="K11" s="89"/>
      <c r="T11" s="71"/>
    </row>
    <row r="12" spans="3:20" ht="15.75">
      <c r="C12" s="165" t="s">
        <v>45</v>
      </c>
      <c r="D12" s="165"/>
      <c r="E12" s="165"/>
      <c r="F12" s="88"/>
      <c r="G12" s="88"/>
      <c r="H12" s="88"/>
      <c r="I12" s="88"/>
      <c r="J12" s="88" t="s">
        <v>81</v>
      </c>
      <c r="K12" s="89"/>
      <c r="T12" s="71"/>
    </row>
    <row r="13" ht="12.75">
      <c r="T13" s="71"/>
    </row>
    <row r="14" ht="12.75">
      <c r="T14" s="71"/>
    </row>
  </sheetData>
  <sheetProtection/>
  <mergeCells count="4">
    <mergeCell ref="C12:E12"/>
    <mergeCell ref="A1:O1"/>
    <mergeCell ref="C8:E8"/>
    <mergeCell ref="C10:E10"/>
  </mergeCells>
  <printOptions/>
  <pageMargins left="0.3937007874015748" right="0.1968503937007874" top="0.36" bottom="0.55" header="0.23" footer="0.5118110236220472"/>
  <pageSetup horizontalDpi="600" verticalDpi="600" orientation="landscape" paperSize="9" scale="95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5"/>
  <sheetViews>
    <sheetView zoomScalePageLayoutView="0" workbookViewId="0" topLeftCell="B1">
      <selection activeCell="J6" sqref="J6"/>
    </sheetView>
  </sheetViews>
  <sheetFormatPr defaultColWidth="9.140625" defaultRowHeight="12.75"/>
  <cols>
    <col min="1" max="1" width="5.7109375" style="1" customWidth="1"/>
    <col min="2" max="2" width="17.421875" style="1" customWidth="1"/>
    <col min="3" max="3" width="8.7109375" style="1" customWidth="1"/>
    <col min="4" max="4" width="9.8515625" style="1" customWidth="1"/>
    <col min="5" max="5" width="11.140625" style="1" customWidth="1"/>
    <col min="6" max="6" width="11.00390625" style="1" customWidth="1"/>
    <col min="7" max="7" width="10.8515625" style="1" customWidth="1"/>
    <col min="8" max="8" width="8.28125" style="1" customWidth="1"/>
    <col min="9" max="9" width="9.7109375" style="1" customWidth="1"/>
    <col min="10" max="10" width="13.00390625" style="1" customWidth="1"/>
    <col min="11" max="11" width="12.7109375" style="1" customWidth="1"/>
    <col min="12" max="12" width="13.7109375" style="1" customWidth="1"/>
    <col min="13" max="13" width="10.7109375" style="1" customWidth="1"/>
    <col min="14" max="14" width="11.28125" style="1" customWidth="1"/>
    <col min="15" max="15" width="16.421875" style="1" customWidth="1"/>
    <col min="16" max="16" width="9.140625" style="1" customWidth="1"/>
    <col min="17" max="17" width="9.28125" style="1" bestFit="1" customWidth="1"/>
    <col min="18" max="16384" width="9.140625" style="1" customWidth="1"/>
  </cols>
  <sheetData>
    <row r="1" spans="1:15" ht="19.5">
      <c r="A1" s="166" t="s">
        <v>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2" ht="12.75">
      <c r="A2" s="7"/>
      <c r="B2" s="13"/>
      <c r="C2" s="13"/>
      <c r="D2" s="13"/>
      <c r="E2" s="13"/>
      <c r="F2" s="13"/>
      <c r="G2" s="13"/>
      <c r="H2" s="13"/>
      <c r="I2" s="13"/>
      <c r="J2" s="7"/>
      <c r="K2" s="7"/>
      <c r="L2" s="7"/>
    </row>
    <row r="3" spans="1:12" ht="13.5" thickBot="1">
      <c r="A3" s="7"/>
      <c r="B3" s="13"/>
      <c r="C3" s="13"/>
      <c r="D3" s="13"/>
      <c r="E3" s="13"/>
      <c r="F3" s="13"/>
      <c r="G3" s="13"/>
      <c r="H3" s="13"/>
      <c r="I3" s="13"/>
      <c r="J3" s="7"/>
      <c r="K3" s="7"/>
      <c r="L3" s="7"/>
    </row>
    <row r="4" spans="1:15" ht="122.25" thickBot="1">
      <c r="A4" s="14" t="s">
        <v>16</v>
      </c>
      <c r="B4" s="15" t="s">
        <v>17</v>
      </c>
      <c r="C4" s="30" t="s">
        <v>21</v>
      </c>
      <c r="D4" s="30" t="s">
        <v>20</v>
      </c>
      <c r="E4" s="47" t="s">
        <v>27</v>
      </c>
      <c r="F4" s="47" t="s">
        <v>19</v>
      </c>
      <c r="G4" s="48" t="s">
        <v>32</v>
      </c>
      <c r="H4" s="48" t="s">
        <v>34</v>
      </c>
      <c r="I4" s="48" t="s">
        <v>33</v>
      </c>
      <c r="J4" s="9" t="s">
        <v>65</v>
      </c>
      <c r="K4" s="9" t="s">
        <v>37</v>
      </c>
      <c r="L4" s="9" t="s">
        <v>15</v>
      </c>
      <c r="M4" s="9" t="s">
        <v>38</v>
      </c>
      <c r="N4" s="9" t="s">
        <v>39</v>
      </c>
      <c r="O4" s="16" t="s">
        <v>62</v>
      </c>
    </row>
    <row r="5" spans="1:15" ht="15" customHeight="1" thickBot="1">
      <c r="A5" s="43">
        <v>1</v>
      </c>
      <c r="B5" s="49">
        <v>2</v>
      </c>
      <c r="C5" s="25">
        <v>3</v>
      </c>
      <c r="D5" s="25">
        <v>4</v>
      </c>
      <c r="E5" s="25">
        <v>5</v>
      </c>
      <c r="F5" s="25">
        <v>6</v>
      </c>
      <c r="G5" s="50">
        <v>7</v>
      </c>
      <c r="H5" s="50"/>
      <c r="I5" s="50"/>
      <c r="J5" s="44">
        <v>8</v>
      </c>
      <c r="K5" s="44">
        <v>9</v>
      </c>
      <c r="L5" s="44">
        <v>10</v>
      </c>
      <c r="M5" s="44">
        <v>11</v>
      </c>
      <c r="N5" s="44">
        <v>12</v>
      </c>
      <c r="O5" s="45">
        <v>13</v>
      </c>
    </row>
    <row r="6" spans="1:15" ht="12.75">
      <c r="A6" s="2">
        <v>1</v>
      </c>
      <c r="B6" s="3" t="s">
        <v>75</v>
      </c>
      <c r="C6" s="3"/>
      <c r="D6" s="3"/>
      <c r="E6" s="105">
        <v>3002.38</v>
      </c>
      <c r="F6" s="2">
        <f>C6+D6+E6</f>
        <v>3002.38</v>
      </c>
      <c r="G6" s="2"/>
      <c r="H6" s="2"/>
      <c r="I6" s="2">
        <v>90</v>
      </c>
      <c r="J6" s="22">
        <f>1/3807*(I6)</f>
        <v>0.023640661938534282</v>
      </c>
      <c r="K6" s="22">
        <f>J6*1753.08</f>
        <v>41.44397163120568</v>
      </c>
      <c r="L6" s="22">
        <f>K6*0.3677</f>
        <v>15.238948368794329</v>
      </c>
      <c r="M6" s="22">
        <f>K6*0.5</f>
        <v>20.72198581560284</v>
      </c>
      <c r="N6" s="22">
        <f>J6*244.91</f>
        <v>5.789834515366431</v>
      </c>
      <c r="O6" s="124">
        <f>(K6+L6+M6+N6)/E6</f>
        <v>0.027709597163240257</v>
      </c>
    </row>
    <row r="10" spans="3:11" ht="15.75">
      <c r="C10" s="165" t="s">
        <v>79</v>
      </c>
      <c r="D10" s="165"/>
      <c r="E10" s="165"/>
      <c r="F10" s="88"/>
      <c r="G10" s="88"/>
      <c r="H10" s="88"/>
      <c r="I10" s="88"/>
      <c r="J10" s="88" t="s">
        <v>80</v>
      </c>
      <c r="K10" s="89"/>
    </row>
    <row r="11" spans="3:11" ht="15.75">
      <c r="C11" s="118"/>
      <c r="D11" s="119"/>
      <c r="E11" s="120"/>
      <c r="F11" s="88"/>
      <c r="G11" s="88"/>
      <c r="H11" s="88"/>
      <c r="I11" s="88"/>
      <c r="J11" s="88"/>
      <c r="K11" s="89"/>
    </row>
    <row r="12" spans="3:11" ht="15.75">
      <c r="C12" s="165" t="s">
        <v>44</v>
      </c>
      <c r="D12" s="165"/>
      <c r="E12" s="165"/>
      <c r="F12" s="88"/>
      <c r="G12" s="88"/>
      <c r="H12" s="88"/>
      <c r="I12" s="88"/>
      <c r="J12" s="88" t="s">
        <v>77</v>
      </c>
      <c r="K12" s="89"/>
    </row>
    <row r="13" spans="3:11" ht="15.75">
      <c r="C13" s="118"/>
      <c r="D13" s="119"/>
      <c r="E13" s="119"/>
      <c r="F13" s="88"/>
      <c r="G13" s="88"/>
      <c r="H13" s="88"/>
      <c r="I13" s="88"/>
      <c r="J13" s="88"/>
      <c r="K13" s="89"/>
    </row>
    <row r="14" spans="3:11" ht="15.75">
      <c r="C14" s="165" t="s">
        <v>45</v>
      </c>
      <c r="D14" s="165"/>
      <c r="E14" s="165"/>
      <c r="F14" s="88"/>
      <c r="G14" s="88"/>
      <c r="H14" s="88"/>
      <c r="I14" s="88"/>
      <c r="J14" s="88" t="s">
        <v>81</v>
      </c>
      <c r="K14" s="89"/>
    </row>
    <row r="15" spans="3:5" ht="12.75">
      <c r="C15" s="118"/>
      <c r="D15" s="118"/>
      <c r="E15" s="118"/>
    </row>
  </sheetData>
  <sheetProtection/>
  <mergeCells count="4">
    <mergeCell ref="C12:E12"/>
    <mergeCell ref="C14:E14"/>
    <mergeCell ref="A1:O1"/>
    <mergeCell ref="C10:E10"/>
  </mergeCells>
  <printOptions/>
  <pageMargins left="0.75" right="0.75" top="0.61" bottom="0.58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K12"/>
  <sheetViews>
    <sheetView zoomScalePageLayoutView="0" workbookViewId="0" topLeftCell="C1">
      <selection activeCell="I5" sqref="I5"/>
    </sheetView>
  </sheetViews>
  <sheetFormatPr defaultColWidth="9.140625" defaultRowHeight="12.75"/>
  <cols>
    <col min="1" max="2" width="7.00390625" style="1" customWidth="1"/>
    <col min="3" max="3" width="21.28125" style="1" customWidth="1"/>
    <col min="4" max="4" width="13.00390625" style="1" customWidth="1"/>
    <col min="5" max="5" width="10.421875" style="1" customWidth="1"/>
    <col min="6" max="6" width="11.00390625" style="1" customWidth="1"/>
    <col min="7" max="7" width="15.421875" style="1" customWidth="1"/>
    <col min="8" max="8" width="16.140625" style="1" customWidth="1"/>
    <col min="9" max="9" width="13.140625" style="1" customWidth="1"/>
    <col min="10" max="10" width="18.28125" style="1" customWidth="1"/>
    <col min="11" max="16384" width="9.140625" style="1" customWidth="1"/>
  </cols>
  <sheetData>
    <row r="1" spans="2:9" ht="12.75" customHeight="1">
      <c r="B1" s="166" t="s">
        <v>85</v>
      </c>
      <c r="C1" s="166"/>
      <c r="D1" s="166"/>
      <c r="E1" s="166"/>
      <c r="F1" s="166"/>
      <c r="G1" s="166"/>
      <c r="H1" s="166"/>
      <c r="I1" s="166"/>
    </row>
    <row r="2" spans="2:9" ht="52.5" customHeight="1">
      <c r="B2" s="169"/>
      <c r="C2" s="169"/>
      <c r="D2" s="169"/>
      <c r="E2" s="169"/>
      <c r="F2" s="169"/>
      <c r="G2" s="169"/>
      <c r="H2" s="169"/>
      <c r="I2" s="169"/>
    </row>
    <row r="3" spans="2:10" ht="88.5" customHeight="1">
      <c r="B3" s="146" t="s">
        <v>16</v>
      </c>
      <c r="C3" s="147" t="s">
        <v>17</v>
      </c>
      <c r="D3" s="147" t="s">
        <v>21</v>
      </c>
      <c r="E3" s="147" t="s">
        <v>20</v>
      </c>
      <c r="F3" s="148" t="s">
        <v>54</v>
      </c>
      <c r="G3" s="148" t="s">
        <v>19</v>
      </c>
      <c r="H3" s="148" t="s">
        <v>71</v>
      </c>
      <c r="I3" s="146" t="s">
        <v>25</v>
      </c>
      <c r="J3" s="146" t="s">
        <v>61</v>
      </c>
    </row>
    <row r="4" spans="2:10" ht="13.5">
      <c r="B4" s="129">
        <v>1</v>
      </c>
      <c r="C4" s="149">
        <v>2</v>
      </c>
      <c r="D4" s="149">
        <v>3</v>
      </c>
      <c r="E4" s="149">
        <v>4</v>
      </c>
      <c r="F4" s="149">
        <v>5</v>
      </c>
      <c r="G4" s="149">
        <v>6</v>
      </c>
      <c r="H4" s="129">
        <v>7</v>
      </c>
      <c r="I4" s="129">
        <v>8</v>
      </c>
      <c r="J4" s="129">
        <v>10</v>
      </c>
    </row>
    <row r="5" spans="2:10" ht="12.75">
      <c r="B5" s="2">
        <v>1</v>
      </c>
      <c r="C5" s="3" t="s">
        <v>75</v>
      </c>
      <c r="D5" s="3"/>
      <c r="E5" s="3"/>
      <c r="F5" s="105">
        <v>3002.38</v>
      </c>
      <c r="G5" s="2">
        <f>D5+E5+F5</f>
        <v>3002.38</v>
      </c>
      <c r="H5" s="153">
        <v>160</v>
      </c>
      <c r="I5" s="2">
        <v>0.035</v>
      </c>
      <c r="J5" s="124">
        <f>(H5*I5)/(F5+D5+E5)</f>
        <v>0.0018651869516849967</v>
      </c>
    </row>
    <row r="8" spans="3:11" ht="15.75">
      <c r="C8" s="168" t="s">
        <v>79</v>
      </c>
      <c r="D8" s="168"/>
      <c r="E8" s="168"/>
      <c r="F8" s="88"/>
      <c r="G8" s="88"/>
      <c r="H8" s="88"/>
      <c r="I8" s="88"/>
      <c r="J8" s="88" t="s">
        <v>80</v>
      </c>
      <c r="K8" s="89"/>
    </row>
    <row r="9" spans="4:11" ht="15.75">
      <c r="D9" s="91"/>
      <c r="E9" s="92"/>
      <c r="F9" s="88"/>
      <c r="G9" s="88"/>
      <c r="H9" s="88"/>
      <c r="I9" s="88"/>
      <c r="J9" s="88"/>
      <c r="K9" s="89"/>
    </row>
    <row r="10" spans="3:11" ht="15.75">
      <c r="C10" s="168" t="s">
        <v>44</v>
      </c>
      <c r="D10" s="168"/>
      <c r="E10" s="168"/>
      <c r="F10" s="88"/>
      <c r="G10" s="88"/>
      <c r="H10" s="88"/>
      <c r="I10" s="88"/>
      <c r="J10" s="88" t="s">
        <v>77</v>
      </c>
      <c r="K10" s="89"/>
    </row>
    <row r="11" spans="4:11" ht="15.75">
      <c r="D11" s="91"/>
      <c r="E11" s="91"/>
      <c r="F11" s="88"/>
      <c r="G11" s="88"/>
      <c r="H11" s="88"/>
      <c r="I11" s="88"/>
      <c r="J11" s="88"/>
      <c r="K11" s="89"/>
    </row>
    <row r="12" spans="3:11" ht="15.75">
      <c r="C12" s="168" t="s">
        <v>45</v>
      </c>
      <c r="D12" s="168"/>
      <c r="E12" s="168"/>
      <c r="F12" s="88"/>
      <c r="G12" s="88"/>
      <c r="H12" s="88"/>
      <c r="I12" s="88"/>
      <c r="J12" s="88" t="s">
        <v>81</v>
      </c>
      <c r="K12" s="89"/>
    </row>
  </sheetData>
  <sheetProtection/>
  <mergeCells count="4">
    <mergeCell ref="C12:E12"/>
    <mergeCell ref="B1:I2"/>
    <mergeCell ref="C8:E8"/>
    <mergeCell ref="C10:E10"/>
  </mergeCells>
  <printOptions/>
  <pageMargins left="0.56" right="0.33" top="0.61" bottom="1" header="0.5" footer="0.5"/>
  <pageSetup horizontalDpi="600" verticalDpi="600" orientation="portrait" paperSize="9" scale="7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"/>
  <sheetViews>
    <sheetView zoomScale="85" zoomScaleNormal="85" zoomScalePageLayoutView="0" workbookViewId="0" topLeftCell="A1">
      <selection activeCell="G4" sqref="G4"/>
    </sheetView>
  </sheetViews>
  <sheetFormatPr defaultColWidth="9.140625" defaultRowHeight="12.75"/>
  <cols>
    <col min="1" max="1" width="6.28125" style="1" customWidth="1"/>
    <col min="2" max="2" width="20.140625" style="1" customWidth="1"/>
    <col min="3" max="3" width="13.28125" style="53" customWidth="1"/>
    <col min="4" max="4" width="10.421875" style="53" customWidth="1"/>
    <col min="5" max="6" width="13.00390625" style="1" customWidth="1"/>
    <col min="7" max="7" width="12.421875" style="1" customWidth="1"/>
    <col min="8" max="8" width="12.140625" style="1" customWidth="1"/>
    <col min="9" max="9" width="12.57421875" style="1" customWidth="1"/>
    <col min="10" max="10" width="12.8515625" style="1" customWidth="1"/>
    <col min="11" max="11" width="13.00390625" style="1" customWidth="1"/>
    <col min="12" max="12" width="14.00390625" style="1" customWidth="1"/>
    <col min="13" max="16384" width="9.140625" style="1" customWidth="1"/>
  </cols>
  <sheetData>
    <row r="1" spans="1:12" ht="48.75" customHeight="1" thickBot="1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18.5" customHeight="1" thickBot="1">
      <c r="A2" s="14" t="s">
        <v>16</v>
      </c>
      <c r="B2" s="15" t="s">
        <v>17</v>
      </c>
      <c r="C2" s="47" t="s">
        <v>21</v>
      </c>
      <c r="D2" s="47" t="s">
        <v>20</v>
      </c>
      <c r="E2" s="47" t="s">
        <v>54</v>
      </c>
      <c r="F2" s="47" t="s">
        <v>19</v>
      </c>
      <c r="G2" s="15" t="s">
        <v>66</v>
      </c>
      <c r="H2" s="9" t="s">
        <v>37</v>
      </c>
      <c r="I2" s="9" t="s">
        <v>15</v>
      </c>
      <c r="J2" s="9" t="s">
        <v>38</v>
      </c>
      <c r="K2" s="9" t="s">
        <v>39</v>
      </c>
      <c r="L2" s="16" t="s">
        <v>60</v>
      </c>
    </row>
    <row r="3" spans="1:12" ht="14.25" thickBot="1">
      <c r="A3" s="8">
        <v>1</v>
      </c>
      <c r="B3" s="132">
        <v>2</v>
      </c>
      <c r="C3" s="131">
        <v>3</v>
      </c>
      <c r="D3" s="81">
        <v>4</v>
      </c>
      <c r="E3" s="51">
        <v>5</v>
      </c>
      <c r="F3" s="25">
        <v>6</v>
      </c>
      <c r="G3" s="8">
        <v>7</v>
      </c>
      <c r="H3" s="35">
        <v>8</v>
      </c>
      <c r="I3" s="35">
        <v>9</v>
      </c>
      <c r="J3" s="35">
        <v>10</v>
      </c>
      <c r="K3" s="35">
        <v>11</v>
      </c>
      <c r="L3" s="130">
        <v>12</v>
      </c>
    </row>
    <row r="4" spans="1:12" ht="23.25" customHeight="1">
      <c r="A4" s="2">
        <v>1</v>
      </c>
      <c r="B4" s="29" t="s">
        <v>75</v>
      </c>
      <c r="C4" s="4"/>
      <c r="D4" s="4"/>
      <c r="E4" s="105">
        <v>3002.38</v>
      </c>
      <c r="F4" s="133">
        <f>C4+D4+E4</f>
        <v>3002.38</v>
      </c>
      <c r="G4" s="20">
        <f>2/190881.6*E4</f>
        <v>0.031458034718904286</v>
      </c>
      <c r="H4" s="20">
        <f>G4*1753.08</f>
        <v>55.14845150501672</v>
      </c>
      <c r="I4" s="20">
        <f>H4*0.3677</f>
        <v>20.278085618394652</v>
      </c>
      <c r="J4" s="20">
        <f>H4*0.5</f>
        <v>27.57422575250836</v>
      </c>
      <c r="K4" s="20">
        <f>G4*193.77</f>
        <v>6.0956233874820835</v>
      </c>
      <c r="L4" s="128">
        <f>(H4+I4+J4+K4)/E4</f>
        <v>0.036336635024014886</v>
      </c>
    </row>
    <row r="5" spans="2:12" s="93" customFormat="1" ht="15.75">
      <c r="B5" s="94"/>
      <c r="C5" s="95"/>
      <c r="D5" s="95"/>
      <c r="E5" s="96"/>
      <c r="F5" s="96"/>
      <c r="G5" s="97"/>
      <c r="H5" s="98"/>
      <c r="I5" s="98"/>
      <c r="J5" s="98"/>
      <c r="K5" s="98"/>
      <c r="L5" s="99"/>
    </row>
    <row r="6" spans="2:12" s="93" customFormat="1" ht="15.75">
      <c r="B6" s="94"/>
      <c r="C6" s="95"/>
      <c r="D6" s="95"/>
      <c r="E6" s="96"/>
      <c r="F6" s="96"/>
      <c r="G6" s="97"/>
      <c r="H6" s="98"/>
      <c r="I6" s="98"/>
      <c r="J6" s="98"/>
      <c r="K6" s="98"/>
      <c r="L6" s="99"/>
    </row>
    <row r="7" spans="3:11" ht="15.75">
      <c r="C7" s="165" t="s">
        <v>79</v>
      </c>
      <c r="D7" s="165"/>
      <c r="E7" s="165"/>
      <c r="F7" s="88"/>
      <c r="G7" s="88"/>
      <c r="H7" s="88"/>
      <c r="I7" s="88"/>
      <c r="J7" s="88" t="s">
        <v>80</v>
      </c>
      <c r="K7" s="89"/>
    </row>
    <row r="8" spans="3:11" ht="15.75">
      <c r="C8" s="118"/>
      <c r="D8" s="119"/>
      <c r="E8" s="120"/>
      <c r="F8" s="88"/>
      <c r="G8" s="88"/>
      <c r="H8" s="88"/>
      <c r="I8" s="88"/>
      <c r="J8" s="88"/>
      <c r="K8" s="89"/>
    </row>
    <row r="9" spans="3:11" ht="15.75">
      <c r="C9" s="165" t="s">
        <v>44</v>
      </c>
      <c r="D9" s="165"/>
      <c r="E9" s="165"/>
      <c r="F9" s="88"/>
      <c r="G9" s="88"/>
      <c r="H9" s="88"/>
      <c r="I9" s="88"/>
      <c r="J9" s="88" t="s">
        <v>77</v>
      </c>
      <c r="K9" s="89"/>
    </row>
    <row r="10" spans="3:11" ht="15.75">
      <c r="C10" s="118"/>
      <c r="D10" s="119"/>
      <c r="E10" s="119"/>
      <c r="F10" s="88"/>
      <c r="G10" s="88"/>
      <c r="H10" s="88"/>
      <c r="I10" s="88"/>
      <c r="J10" s="88"/>
      <c r="K10" s="89"/>
    </row>
    <row r="11" spans="3:11" ht="15.75">
      <c r="C11" s="165" t="s">
        <v>45</v>
      </c>
      <c r="D11" s="165"/>
      <c r="E11" s="165"/>
      <c r="F11" s="88"/>
      <c r="G11" s="88"/>
      <c r="H11" s="88"/>
      <c r="I11" s="88"/>
      <c r="J11" s="88" t="s">
        <v>81</v>
      </c>
      <c r="K11" s="89"/>
    </row>
  </sheetData>
  <sheetProtection/>
  <mergeCells count="4">
    <mergeCell ref="A1:L1"/>
    <mergeCell ref="C7:E7"/>
    <mergeCell ref="C9:E9"/>
    <mergeCell ref="C11:E11"/>
  </mergeCells>
  <printOptions/>
  <pageMargins left="0" right="0" top="0.41" bottom="0.7874015748031497" header="0.3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6"/>
  <sheetViews>
    <sheetView zoomScalePageLayoutView="0" workbookViewId="0" topLeftCell="D1">
      <selection activeCell="G6" sqref="G6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14.00390625" style="0" customWidth="1"/>
    <col min="4" max="4" width="13.00390625" style="0" customWidth="1"/>
    <col min="5" max="5" width="12.8515625" style="0" customWidth="1"/>
    <col min="6" max="6" width="16.28125" style="0" customWidth="1"/>
    <col min="7" max="7" width="14.421875" style="0" customWidth="1"/>
    <col min="8" max="8" width="15.57421875" style="0" customWidth="1"/>
    <col min="9" max="10" width="14.140625" style="0" customWidth="1"/>
    <col min="11" max="11" width="15.140625" style="0" customWidth="1"/>
    <col min="12" max="12" width="18.421875" style="0" customWidth="1"/>
  </cols>
  <sheetData>
    <row r="1" spans="1:12" ht="19.5">
      <c r="A1" s="166" t="s">
        <v>89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>
      <c r="A2" s="7"/>
      <c r="B2" s="13"/>
      <c r="C2" s="13"/>
      <c r="D2" s="13"/>
      <c r="E2" s="13"/>
      <c r="F2" s="13"/>
      <c r="G2" s="7"/>
      <c r="H2" s="7"/>
      <c r="I2" s="7"/>
      <c r="J2" s="7"/>
      <c r="K2" s="1"/>
      <c r="L2" s="1"/>
    </row>
    <row r="3" spans="1:12" ht="13.5" thickBot="1">
      <c r="A3" s="7"/>
      <c r="B3" s="13"/>
      <c r="C3" s="13"/>
      <c r="D3" s="13"/>
      <c r="E3" s="13"/>
      <c r="F3" s="13"/>
      <c r="G3" s="7"/>
      <c r="H3" s="7"/>
      <c r="I3" s="7"/>
      <c r="J3" s="7"/>
      <c r="K3" s="1"/>
      <c r="L3" s="1"/>
    </row>
    <row r="4" spans="1:12" ht="104.25" thickBot="1">
      <c r="A4" s="14" t="s">
        <v>16</v>
      </c>
      <c r="B4" s="134" t="s">
        <v>17</v>
      </c>
      <c r="C4" s="134" t="s">
        <v>21</v>
      </c>
      <c r="D4" s="134" t="s">
        <v>20</v>
      </c>
      <c r="E4" s="48" t="s">
        <v>54</v>
      </c>
      <c r="F4" s="135" t="s">
        <v>19</v>
      </c>
      <c r="G4" s="135" t="s">
        <v>87</v>
      </c>
      <c r="H4" s="9" t="s">
        <v>37</v>
      </c>
      <c r="I4" s="9" t="s">
        <v>15</v>
      </c>
      <c r="J4" s="9" t="s">
        <v>38</v>
      </c>
      <c r="K4" s="9" t="s">
        <v>39</v>
      </c>
      <c r="L4" s="16" t="s">
        <v>88</v>
      </c>
    </row>
    <row r="5" spans="1:12" ht="13.5">
      <c r="A5" s="17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9">
        <v>12</v>
      </c>
    </row>
    <row r="6" spans="1:12" ht="12.75">
      <c r="A6" s="2">
        <v>1</v>
      </c>
      <c r="B6" s="29" t="s">
        <v>75</v>
      </c>
      <c r="C6" s="4"/>
      <c r="D6" s="4"/>
      <c r="E6" s="105">
        <v>3002.38</v>
      </c>
      <c r="F6" s="2">
        <f>C6+D6+E6</f>
        <v>3002.38</v>
      </c>
      <c r="G6" s="22">
        <f>2/190881.6*E6</f>
        <v>0.031458034718904286</v>
      </c>
      <c r="H6" s="22">
        <f>G6*1753.08</f>
        <v>55.14845150501672</v>
      </c>
      <c r="I6" s="22">
        <f>H6*0.3677</f>
        <v>20.278085618394652</v>
      </c>
      <c r="J6" s="22">
        <f>H6*0.5</f>
        <v>27.57422575250836</v>
      </c>
      <c r="K6" s="22">
        <f>G6*235.27</f>
        <v>7.401131828316612</v>
      </c>
      <c r="L6" s="22">
        <f>(H6+I6+J6+K6)/E6</f>
        <v>0.0367714595435076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15"/>
  <sheetViews>
    <sheetView zoomScale="85" zoomScaleNormal="85" zoomScalePageLayoutView="0" workbookViewId="0" topLeftCell="A1">
      <selection activeCell="J6" sqref="J6"/>
    </sheetView>
  </sheetViews>
  <sheetFormatPr defaultColWidth="9.140625" defaultRowHeight="12.75"/>
  <cols>
    <col min="1" max="1" width="5.7109375" style="53" customWidth="1"/>
    <col min="2" max="2" width="21.28125" style="53" customWidth="1"/>
    <col min="3" max="3" width="14.00390625" style="53" customWidth="1"/>
    <col min="4" max="4" width="12.140625" style="53" customWidth="1"/>
    <col min="5" max="5" width="13.140625" style="53" customWidth="1"/>
    <col min="6" max="6" width="14.28125" style="53" customWidth="1"/>
    <col min="7" max="9" width="12.57421875" style="53" customWidth="1"/>
    <col min="10" max="10" width="14.140625" style="53" customWidth="1"/>
    <col min="11" max="11" width="12.8515625" style="53" customWidth="1"/>
    <col min="12" max="12" width="14.57421875" style="53" customWidth="1"/>
    <col min="13" max="13" width="13.28125" style="53" customWidth="1"/>
    <col min="14" max="14" width="18.00390625" style="53" customWidth="1"/>
    <col min="15" max="15" width="16.421875" style="53" customWidth="1"/>
    <col min="16" max="16" width="9.140625" style="1" customWidth="1"/>
    <col min="17" max="17" width="9.28125" style="1" bestFit="1" customWidth="1"/>
    <col min="18" max="16384" width="9.140625" style="1" customWidth="1"/>
  </cols>
  <sheetData>
    <row r="1" spans="1:15" ht="57" customHeight="1">
      <c r="A1" s="170" t="s">
        <v>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2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3.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5" ht="111" customHeight="1">
      <c r="A4" s="137" t="s">
        <v>16</v>
      </c>
      <c r="B4" s="52" t="s">
        <v>17</v>
      </c>
      <c r="C4" s="52" t="s">
        <v>21</v>
      </c>
      <c r="D4" s="52" t="s">
        <v>20</v>
      </c>
      <c r="E4" s="47" t="s">
        <v>54</v>
      </c>
      <c r="F4" s="47" t="s">
        <v>19</v>
      </c>
      <c r="G4" s="47" t="s">
        <v>32</v>
      </c>
      <c r="H4" s="47" t="s">
        <v>34</v>
      </c>
      <c r="I4" s="47" t="s">
        <v>33</v>
      </c>
      <c r="J4" s="47" t="s">
        <v>67</v>
      </c>
      <c r="K4" s="47" t="s">
        <v>37</v>
      </c>
      <c r="L4" s="47" t="s">
        <v>15</v>
      </c>
      <c r="M4" s="47" t="s">
        <v>38</v>
      </c>
      <c r="N4" s="47" t="s">
        <v>39</v>
      </c>
      <c r="O4" s="138" t="s">
        <v>59</v>
      </c>
    </row>
    <row r="5" spans="1:15" ht="13.5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/>
      <c r="I5" s="140"/>
      <c r="J5" s="140">
        <v>8</v>
      </c>
      <c r="K5" s="140">
        <v>9</v>
      </c>
      <c r="L5" s="140">
        <v>10</v>
      </c>
      <c r="M5" s="140">
        <v>11</v>
      </c>
      <c r="N5" s="140">
        <v>12</v>
      </c>
      <c r="O5" s="140">
        <v>13</v>
      </c>
    </row>
    <row r="6" spans="1:15" ht="12.75">
      <c r="A6" s="5">
        <v>1</v>
      </c>
      <c r="B6" s="82" t="s">
        <v>75</v>
      </c>
      <c r="C6" s="5"/>
      <c r="D6" s="5"/>
      <c r="E6" s="139">
        <v>3002.38</v>
      </c>
      <c r="F6" s="5">
        <f>C6+D6+E6</f>
        <v>3002.38</v>
      </c>
      <c r="G6" s="5"/>
      <c r="H6" s="5"/>
      <c r="I6" s="5">
        <v>90</v>
      </c>
      <c r="J6" s="66">
        <f>2/3951*(G6+H6+I6)</f>
        <v>0.04555808656036447</v>
      </c>
      <c r="K6" s="66">
        <f>J6*1753.08</f>
        <v>79.86697038724374</v>
      </c>
      <c r="L6" s="66">
        <f>K6*0.3677</f>
        <v>29.367085011389523</v>
      </c>
      <c r="M6" s="66">
        <f>K6*0.5</f>
        <v>39.93348519362187</v>
      </c>
      <c r="N6" s="66">
        <f>J6*301.1</f>
        <v>13.717539863325742</v>
      </c>
      <c r="O6" s="67">
        <f>(K6+L6+M6+N6)/(E6+C6+D6)</f>
        <v>0.05425198690891256</v>
      </c>
    </row>
    <row r="8" ht="15.75">
      <c r="L8" s="98"/>
    </row>
    <row r="9" spans="5:13" ht="15.75">
      <c r="E9" s="168" t="s">
        <v>79</v>
      </c>
      <c r="F9" s="168"/>
      <c r="G9" s="168"/>
      <c r="H9" s="88"/>
      <c r="I9" s="88"/>
      <c r="J9" s="88"/>
      <c r="K9" s="88"/>
      <c r="L9" s="88" t="s">
        <v>80</v>
      </c>
      <c r="M9" s="89"/>
    </row>
    <row r="10" spans="5:13" ht="15.75">
      <c r="E10" s="1"/>
      <c r="F10" s="91"/>
      <c r="G10" s="92"/>
      <c r="H10" s="88"/>
      <c r="I10" s="88"/>
      <c r="J10" s="88"/>
      <c r="K10" s="88"/>
      <c r="L10" s="88"/>
      <c r="M10" s="89"/>
    </row>
    <row r="11" spans="5:13" ht="15.75">
      <c r="E11" s="168" t="s">
        <v>44</v>
      </c>
      <c r="F11" s="168"/>
      <c r="G11" s="168"/>
      <c r="H11" s="88"/>
      <c r="I11" s="88"/>
      <c r="J11" s="88"/>
      <c r="K11" s="88"/>
      <c r="L11" s="88" t="s">
        <v>77</v>
      </c>
      <c r="M11" s="89"/>
    </row>
    <row r="12" spans="5:13" ht="15.75">
      <c r="E12" s="1"/>
      <c r="F12" s="91"/>
      <c r="G12" s="91"/>
      <c r="H12" s="88"/>
      <c r="I12" s="88"/>
      <c r="J12" s="88"/>
      <c r="K12" s="88"/>
      <c r="L12" s="88"/>
      <c r="M12" s="89"/>
    </row>
    <row r="13" spans="5:13" ht="15.75">
      <c r="E13" s="168" t="s">
        <v>45</v>
      </c>
      <c r="F13" s="168"/>
      <c r="G13" s="168"/>
      <c r="H13" s="88"/>
      <c r="I13" s="88"/>
      <c r="J13" s="88"/>
      <c r="K13" s="88"/>
      <c r="L13" s="88" t="s">
        <v>81</v>
      </c>
      <c r="M13" s="89"/>
    </row>
    <row r="14" spans="7:13" ht="12.75">
      <c r="G14" s="1"/>
      <c r="H14" s="1"/>
      <c r="I14" s="1"/>
      <c r="J14" s="1"/>
      <c r="K14" s="1"/>
      <c r="L14" s="1"/>
      <c r="M14" s="1"/>
    </row>
    <row r="15" ht="12.75">
      <c r="L15" s="1"/>
    </row>
  </sheetData>
  <sheetProtection/>
  <mergeCells count="4">
    <mergeCell ref="E9:G9"/>
    <mergeCell ref="E11:G11"/>
    <mergeCell ref="E13:G13"/>
    <mergeCell ref="A1:O1"/>
  </mergeCells>
  <printOptions/>
  <pageMargins left="0.3937007874015748" right="0.3937007874015748" top="0.51" bottom="0.787401574803149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AI16"/>
  <sheetViews>
    <sheetView zoomScalePageLayoutView="0" workbookViewId="0" topLeftCell="H1">
      <pane ySplit="4" topLeftCell="A5" activePane="bottomLeft" state="frozen"/>
      <selection pane="topLeft" activeCell="H1" sqref="H1"/>
      <selection pane="bottomLeft" activeCell="J7" sqref="J7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4.57421875" style="0" customWidth="1"/>
    <col min="4" max="4" width="12.140625" style="0" customWidth="1"/>
    <col min="5" max="6" width="13.00390625" style="0" customWidth="1"/>
    <col min="7" max="9" width="15.00390625" style="72" customWidth="1"/>
    <col min="10" max="10" width="13.28125" style="0" customWidth="1"/>
    <col min="11" max="11" width="12.28125" style="0" customWidth="1"/>
    <col min="12" max="12" width="14.28125" style="0" customWidth="1"/>
    <col min="13" max="13" width="13.00390625" style="0" customWidth="1"/>
    <col min="14" max="14" width="14.28125" style="0" customWidth="1"/>
    <col min="15" max="15" width="23.7109375" style="0" customWidth="1"/>
  </cols>
  <sheetData>
    <row r="1" spans="1:15" ht="41.25" customHeight="1">
      <c r="A1" s="171" t="s">
        <v>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2.75" customHeight="1">
      <c r="A2" s="26"/>
      <c r="B2" s="26"/>
      <c r="C2" s="26"/>
      <c r="D2" s="26"/>
      <c r="E2" s="26"/>
      <c r="F2" s="26"/>
      <c r="G2" s="84"/>
      <c r="H2" s="84"/>
      <c r="I2" s="84"/>
      <c r="J2" s="26"/>
      <c r="K2" s="26"/>
      <c r="L2" s="26"/>
      <c r="M2" s="26"/>
      <c r="N2" s="26"/>
      <c r="O2" s="26"/>
    </row>
    <row r="3" ht="13.5" thickBot="1"/>
    <row r="4" spans="1:35" ht="92.25" customHeight="1" thickBot="1">
      <c r="A4" s="11" t="s">
        <v>16</v>
      </c>
      <c r="B4" s="12" t="s">
        <v>17</v>
      </c>
      <c r="C4" s="12" t="s">
        <v>21</v>
      </c>
      <c r="D4" s="12" t="s">
        <v>20</v>
      </c>
      <c r="E4" s="12" t="s">
        <v>54</v>
      </c>
      <c r="F4" s="12" t="s">
        <v>19</v>
      </c>
      <c r="G4" s="48" t="s">
        <v>32</v>
      </c>
      <c r="H4" s="47" t="s">
        <v>34</v>
      </c>
      <c r="I4" s="47" t="s">
        <v>33</v>
      </c>
      <c r="J4" s="12" t="s">
        <v>67</v>
      </c>
      <c r="K4" s="12" t="s">
        <v>37</v>
      </c>
      <c r="L4" s="12" t="s">
        <v>15</v>
      </c>
      <c r="M4" s="12" t="s">
        <v>38</v>
      </c>
      <c r="N4" s="12" t="s">
        <v>39</v>
      </c>
      <c r="O4" s="12" t="s">
        <v>26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2">
        <v>6</v>
      </c>
      <c r="G5" s="143">
        <v>7</v>
      </c>
      <c r="H5" s="143"/>
      <c r="I5" s="143"/>
      <c r="J5" s="142">
        <v>8</v>
      </c>
      <c r="K5" s="142">
        <v>9</v>
      </c>
      <c r="L5" s="142">
        <v>10</v>
      </c>
      <c r="M5" s="142">
        <v>11</v>
      </c>
      <c r="N5" s="142">
        <v>12</v>
      </c>
      <c r="O5" s="142">
        <v>13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15" ht="15.75">
      <c r="A6" s="172" t="s">
        <v>53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ht="12.75">
      <c r="A7" s="2">
        <v>1</v>
      </c>
      <c r="B7" s="2" t="s">
        <v>75</v>
      </c>
      <c r="C7" s="3"/>
      <c r="D7" s="3"/>
      <c r="E7" s="105">
        <v>3002.38</v>
      </c>
      <c r="F7" s="2">
        <f>C7+D7+E7</f>
        <v>3002.38</v>
      </c>
      <c r="G7" s="4"/>
      <c r="H7" s="4"/>
      <c r="I7" s="4">
        <v>90</v>
      </c>
      <c r="J7" s="22">
        <f>1/3951*(G7+H7+I7)</f>
        <v>0.022779043280182234</v>
      </c>
      <c r="K7" s="22">
        <f>J7*1753.08</f>
        <v>39.93348519362187</v>
      </c>
      <c r="L7" s="22">
        <f>K7*0.3677</f>
        <v>14.683542505694762</v>
      </c>
      <c r="M7" s="22">
        <f>K7*0.5</f>
        <v>19.966742596810935</v>
      </c>
      <c r="N7" s="22">
        <f>J7*161.2</f>
        <v>3.6719817767653757</v>
      </c>
      <c r="O7" s="124">
        <f>(K7+L7+M7+N7)/(E7+C7+D7)</f>
        <v>0.026064572796545723</v>
      </c>
    </row>
    <row r="9" ht="12.75">
      <c r="K9" s="121"/>
    </row>
    <row r="11" spans="4:12" ht="15.75">
      <c r="D11" s="168" t="s">
        <v>79</v>
      </c>
      <c r="E11" s="168"/>
      <c r="F11" s="168"/>
      <c r="G11" s="88"/>
      <c r="H11" s="88"/>
      <c r="I11" s="88"/>
      <c r="J11" s="88"/>
      <c r="K11" s="88" t="s">
        <v>80</v>
      </c>
      <c r="L11" s="89"/>
    </row>
    <row r="12" spans="4:12" ht="15.75">
      <c r="D12" s="1"/>
      <c r="E12" s="91"/>
      <c r="F12" s="92"/>
      <c r="G12" s="88"/>
      <c r="H12" s="88"/>
      <c r="I12" s="88"/>
      <c r="J12" s="88"/>
      <c r="K12" s="88"/>
      <c r="L12" s="89"/>
    </row>
    <row r="13" spans="4:12" ht="15.75">
      <c r="D13" s="168" t="s">
        <v>44</v>
      </c>
      <c r="E13" s="168"/>
      <c r="F13" s="168"/>
      <c r="G13" s="88"/>
      <c r="H13" s="88"/>
      <c r="I13" s="88"/>
      <c r="J13" s="88"/>
      <c r="K13" s="88" t="s">
        <v>77</v>
      </c>
      <c r="L13" s="89"/>
    </row>
    <row r="14" spans="4:12" ht="15.75">
      <c r="D14" s="1"/>
      <c r="E14" s="91"/>
      <c r="F14" s="91"/>
      <c r="G14" s="88"/>
      <c r="H14" s="88"/>
      <c r="I14" s="88"/>
      <c r="J14" s="88"/>
      <c r="K14" s="88"/>
      <c r="L14" s="89"/>
    </row>
    <row r="15" spans="4:12" ht="15.75">
      <c r="D15" s="168" t="s">
        <v>45</v>
      </c>
      <c r="E15" s="168"/>
      <c r="F15" s="168"/>
      <c r="G15" s="88"/>
      <c r="H15" s="88"/>
      <c r="I15" s="88"/>
      <c r="J15" s="88"/>
      <c r="K15" s="88" t="s">
        <v>81</v>
      </c>
      <c r="L15" s="89"/>
    </row>
    <row r="16" ht="12.75">
      <c r="K16" s="1"/>
    </row>
  </sheetData>
  <sheetProtection/>
  <mergeCells count="5">
    <mergeCell ref="D15:F15"/>
    <mergeCell ref="A1:O1"/>
    <mergeCell ref="A6:O6"/>
    <mergeCell ref="D11:F11"/>
    <mergeCell ref="D13:F13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Kolodka.Iryna</cp:lastModifiedBy>
  <cp:lastPrinted>2012-12-17T14:44:53Z</cp:lastPrinted>
  <dcterms:created xsi:type="dcterms:W3CDTF">1996-10-08T23:32:33Z</dcterms:created>
  <dcterms:modified xsi:type="dcterms:W3CDTF">2012-12-21T13:08:48Z</dcterms:modified>
  <cp:category/>
  <cp:version/>
  <cp:contentType/>
  <cp:contentStatus/>
</cp:coreProperties>
</file>