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ryz.Taras\Downloads\"/>
    </mc:Choice>
  </mc:AlternateContent>
  <bookViews>
    <workbookView xWindow="0" yWindow="0" windowWidth="15360" windowHeight="8220"/>
  </bookViews>
  <sheets>
    <sheet name="ОСНОВНЕ" sheetId="1" r:id="rId1"/>
  </sheets>
  <definedNames>
    <definedName name="_xlnm._FilterDatabase" localSheetId="0" hidden="1">ОСНОВНЕ!$A$1:$AJ$1158</definedName>
    <definedName name="_xlnm.Print_Titles" localSheetId="0">ОСНОВНЕ!$2:$2</definedName>
    <definedName name="_xlnm.Print_Area" localSheetId="0">ОСНОВНЕ!$G$1:$Q$1155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767" i="1" l="1"/>
  <c r="N767" i="1"/>
  <c r="O767" i="1"/>
  <c r="P767" i="1"/>
  <c r="Q767" i="1"/>
  <c r="L771" i="1"/>
  <c r="M751" i="1"/>
  <c r="N751" i="1"/>
  <c r="O751" i="1"/>
  <c r="P751" i="1"/>
  <c r="Q751" i="1"/>
  <c r="L756" i="1"/>
  <c r="P756" i="1"/>
  <c r="L755" i="1"/>
  <c r="L737" i="1"/>
  <c r="M733" i="1"/>
  <c r="O733" i="1"/>
  <c r="P733" i="1"/>
  <c r="Q733" i="1"/>
  <c r="L738" i="1"/>
  <c r="L739" i="1"/>
  <c r="L740" i="1"/>
  <c r="L741" i="1"/>
  <c r="L742" i="1"/>
  <c r="L743" i="1"/>
  <c r="L744" i="1"/>
  <c r="L745" i="1"/>
  <c r="L746" i="1"/>
  <c r="N736" i="1"/>
  <c r="L736" i="1" s="1"/>
  <c r="L730" i="1" l="1"/>
  <c r="L731" i="1"/>
  <c r="L732" i="1"/>
  <c r="M722" i="1"/>
  <c r="N722" i="1"/>
  <c r="O722" i="1"/>
  <c r="Q722" i="1"/>
  <c r="L726" i="1"/>
  <c r="L727" i="1"/>
  <c r="L728" i="1"/>
  <c r="L729" i="1"/>
  <c r="P724" i="1"/>
  <c r="P722" i="1" s="1"/>
  <c r="L725" i="1"/>
  <c r="U16" i="1" l="1"/>
  <c r="S637" i="1"/>
  <c r="O16" i="1"/>
  <c r="N16" i="1"/>
  <c r="M379" i="1"/>
  <c r="O379" i="1"/>
  <c r="P379" i="1"/>
  <c r="Q379" i="1"/>
  <c r="L461" i="1"/>
  <c r="L459" i="1"/>
  <c r="L458" i="1"/>
  <c r="N463" i="1"/>
  <c r="L463" i="1" s="1"/>
  <c r="AI65" i="1" l="1"/>
  <c r="L1158" i="1" l="1"/>
  <c r="L1152" i="1"/>
  <c r="R1132" i="1"/>
  <c r="R1130" i="1"/>
  <c r="R1126" i="1"/>
  <c r="R1120" i="1"/>
  <c r="R1116" i="1"/>
  <c r="R1111" i="1"/>
  <c r="R1103" i="1"/>
  <c r="R1097" i="1"/>
  <c r="R1089" i="1"/>
  <c r="R1085" i="1"/>
  <c r="R1082" i="1"/>
  <c r="R1078" i="1"/>
  <c r="R1070" i="1"/>
  <c r="R1067" i="1"/>
  <c r="R1057" i="1"/>
  <c r="R1004" i="1"/>
  <c r="R992" i="1"/>
  <c r="R987" i="1"/>
  <c r="R982" i="1"/>
  <c r="R974" i="1"/>
  <c r="R963" i="1"/>
  <c r="R954" i="1"/>
  <c r="R932" i="1"/>
  <c r="R926" i="1"/>
  <c r="R922" i="1"/>
  <c r="R918" i="1"/>
  <c r="R914" i="1"/>
  <c r="R911" i="1"/>
  <c r="R906" i="1"/>
  <c r="R901" i="1"/>
  <c r="R898" i="1"/>
  <c r="R884" i="1"/>
  <c r="R868" i="1"/>
  <c r="R857" i="1"/>
  <c r="R847" i="1"/>
  <c r="R836" i="1"/>
  <c r="R821" i="1"/>
  <c r="R818" i="1"/>
  <c r="R815" i="1"/>
  <c r="R806" i="1"/>
  <c r="R803" i="1"/>
  <c r="R800" i="1"/>
  <c r="R797" i="1"/>
  <c r="R793" i="1"/>
  <c r="R774" i="1"/>
  <c r="R768" i="1"/>
  <c r="R764" i="1"/>
  <c r="R760" i="1"/>
  <c r="R752" i="1"/>
  <c r="R734" i="1"/>
  <c r="R723" i="1"/>
  <c r="R673" i="1"/>
  <c r="R655" i="1"/>
  <c r="R649" i="1"/>
  <c r="R596" i="1"/>
  <c r="R589" i="1"/>
  <c r="R564" i="1"/>
  <c r="R493" i="1"/>
  <c r="R488" i="1"/>
  <c r="R465" i="1"/>
  <c r="R380" i="1"/>
  <c r="R66" i="1"/>
  <c r="R43" i="1"/>
  <c r="R39" i="1"/>
  <c r="R36" i="1"/>
  <c r="R31" i="1"/>
  <c r="R14" i="1"/>
  <c r="R7" i="1"/>
  <c r="R4" i="1"/>
  <c r="L597" i="1"/>
  <c r="L770" i="1"/>
  <c r="L753" i="1"/>
  <c r="L1020" i="1"/>
  <c r="L1021" i="1"/>
  <c r="L1019" i="1"/>
  <c r="L844" i="1"/>
  <c r="L813" i="1"/>
  <c r="L812" i="1"/>
  <c r="M805" i="1"/>
  <c r="O595" i="1"/>
  <c r="P595" i="1"/>
  <c r="Q1152" i="1"/>
  <c r="N1159" i="1"/>
  <c r="L1166" i="1" l="1"/>
  <c r="N1152" i="1" l="1"/>
  <c r="O1152" i="1"/>
  <c r="L5" i="1"/>
  <c r="L3" i="1" s="1"/>
  <c r="M1151" i="1"/>
  <c r="L1151" i="1" s="1"/>
  <c r="M1149" i="1"/>
  <c r="M1139" i="1"/>
  <c r="L1139" i="1" s="1"/>
  <c r="L1122" i="1"/>
  <c r="AJ986" i="1"/>
  <c r="N986" i="1"/>
  <c r="O986" i="1"/>
  <c r="P986" i="1"/>
  <c r="Q986" i="1"/>
  <c r="AJ981" i="1"/>
  <c r="N981" i="1"/>
  <c r="O981" i="1"/>
  <c r="P981" i="1"/>
  <c r="Q981" i="1"/>
  <c r="AJ973" i="1"/>
  <c r="N973" i="1"/>
  <c r="O973" i="1"/>
  <c r="P973" i="1"/>
  <c r="Q973" i="1"/>
  <c r="L975" i="1"/>
  <c r="L980" i="1"/>
  <c r="L988" i="1"/>
  <c r="M989" i="1"/>
  <c r="L989" i="1" s="1"/>
  <c r="M985" i="1"/>
  <c r="L985" i="1" s="1"/>
  <c r="M984" i="1"/>
  <c r="M983" i="1"/>
  <c r="L983" i="1" s="1"/>
  <c r="M979" i="1"/>
  <c r="L979" i="1" s="1"/>
  <c r="M978" i="1"/>
  <c r="L978" i="1" s="1"/>
  <c r="M977" i="1"/>
  <c r="L977" i="1" s="1"/>
  <c r="M976" i="1"/>
  <c r="L976" i="1" s="1"/>
  <c r="AJ931" i="1"/>
  <c r="N931" i="1"/>
  <c r="O931" i="1"/>
  <c r="P931" i="1"/>
  <c r="Q931" i="1"/>
  <c r="AJ953" i="1"/>
  <c r="N953" i="1"/>
  <c r="O953" i="1"/>
  <c r="P953" i="1"/>
  <c r="Q953" i="1"/>
  <c r="AJ962" i="1"/>
  <c r="N962" i="1"/>
  <c r="O962" i="1"/>
  <c r="P962" i="1"/>
  <c r="Q962" i="1"/>
  <c r="M962" i="1"/>
  <c r="M961" i="1"/>
  <c r="M955" i="1"/>
  <c r="L955" i="1" s="1"/>
  <c r="M946" i="1"/>
  <c r="L946" i="1" s="1"/>
  <c r="M939" i="1"/>
  <c r="M936" i="1"/>
  <c r="L936" i="1" s="1"/>
  <c r="AJ925" i="1"/>
  <c r="N925" i="1"/>
  <c r="O925" i="1"/>
  <c r="P925" i="1"/>
  <c r="Q925" i="1"/>
  <c r="AJ921" i="1"/>
  <c r="N921" i="1"/>
  <c r="O921" i="1"/>
  <c r="P921" i="1"/>
  <c r="Q921" i="1"/>
  <c r="AJ917" i="1"/>
  <c r="N917" i="1"/>
  <c r="O917" i="1"/>
  <c r="P917" i="1"/>
  <c r="Q917" i="1"/>
  <c r="AJ913" i="1"/>
  <c r="N913" i="1"/>
  <c r="O913" i="1"/>
  <c r="P913" i="1"/>
  <c r="Q913" i="1"/>
  <c r="AJ910" i="1"/>
  <c r="N910" i="1"/>
  <c r="O910" i="1"/>
  <c r="P910" i="1"/>
  <c r="Q910" i="1"/>
  <c r="AJ905" i="1"/>
  <c r="N905" i="1"/>
  <c r="O905" i="1"/>
  <c r="P905" i="1"/>
  <c r="Q905" i="1"/>
  <c r="AJ900" i="1"/>
  <c r="N900" i="1"/>
  <c r="O900" i="1"/>
  <c r="P900" i="1"/>
  <c r="Q900" i="1"/>
  <c r="AJ897" i="1"/>
  <c r="N897" i="1"/>
  <c r="O897" i="1"/>
  <c r="P897" i="1"/>
  <c r="Q897" i="1"/>
  <c r="M897" i="1"/>
  <c r="L899" i="1"/>
  <c r="L897" i="1" s="1"/>
  <c r="L902" i="1"/>
  <c r="L903" i="1"/>
  <c r="L904" i="1"/>
  <c r="L907" i="1"/>
  <c r="L908" i="1"/>
  <c r="L909" i="1"/>
  <c r="L912" i="1"/>
  <c r="L910" i="1" s="1"/>
  <c r="L915" i="1"/>
  <c r="L913" i="1" s="1"/>
  <c r="L919" i="1"/>
  <c r="L920" i="1"/>
  <c r="L923" i="1"/>
  <c r="L927" i="1"/>
  <c r="L928" i="1"/>
  <c r="L929" i="1"/>
  <c r="L933" i="1"/>
  <c r="L934" i="1"/>
  <c r="L935" i="1"/>
  <c r="L937" i="1"/>
  <c r="L938" i="1"/>
  <c r="L940" i="1"/>
  <c r="L941" i="1"/>
  <c r="L942" i="1"/>
  <c r="L943" i="1"/>
  <c r="L944" i="1"/>
  <c r="L945" i="1"/>
  <c r="L947" i="1"/>
  <c r="L948" i="1"/>
  <c r="L949" i="1"/>
  <c r="L950" i="1"/>
  <c r="L951" i="1"/>
  <c r="L952" i="1"/>
  <c r="L956" i="1"/>
  <c r="L957" i="1"/>
  <c r="L958" i="1"/>
  <c r="L959" i="1"/>
  <c r="L960" i="1"/>
  <c r="L964" i="1"/>
  <c r="L965" i="1"/>
  <c r="L966" i="1"/>
  <c r="L967" i="1"/>
  <c r="L968" i="1"/>
  <c r="L969" i="1"/>
  <c r="L970" i="1"/>
  <c r="L971" i="1"/>
  <c r="M925" i="1"/>
  <c r="M924" i="1"/>
  <c r="M921" i="1" s="1"/>
  <c r="M917" i="1"/>
  <c r="M913" i="1"/>
  <c r="M910" i="1"/>
  <c r="M905" i="1"/>
  <c r="M900" i="1"/>
  <c r="L879" i="1"/>
  <c r="M799" i="1"/>
  <c r="L700" i="1"/>
  <c r="L707" i="1"/>
  <c r="AJ717" i="1"/>
  <c r="L717" i="1" s="1"/>
  <c r="M714" i="1"/>
  <c r="L714" i="1" s="1"/>
  <c r="M713" i="1"/>
  <c r="L713" i="1" s="1"/>
  <c r="M712" i="1"/>
  <c r="AJ712" i="1" s="1"/>
  <c r="L712" i="1" s="1"/>
  <c r="M681" i="1"/>
  <c r="L681" i="1" s="1"/>
  <c r="M656" i="1"/>
  <c r="L656" i="1" s="1"/>
  <c r="L628" i="1"/>
  <c r="L629" i="1"/>
  <c r="L630" i="1"/>
  <c r="L631" i="1"/>
  <c r="L632" i="1"/>
  <c r="L633" i="1"/>
  <c r="L634" i="1"/>
  <c r="L635" i="1"/>
  <c r="M619" i="1"/>
  <c r="M618" i="1"/>
  <c r="L618" i="1" s="1"/>
  <c r="M617" i="1"/>
  <c r="L617" i="1" s="1"/>
  <c r="M616" i="1"/>
  <c r="L616" i="1" s="1"/>
  <c r="M615" i="1"/>
  <c r="L615" i="1" s="1"/>
  <c r="M607" i="1"/>
  <c r="L607" i="1" s="1"/>
  <c r="M605" i="1"/>
  <c r="L587" i="1"/>
  <c r="L417" i="1"/>
  <c r="L395" i="1"/>
  <c r="L103" i="1"/>
  <c r="L61" i="1"/>
  <c r="L62" i="1"/>
  <c r="L63" i="1"/>
  <c r="L64" i="1"/>
  <c r="AJ42" i="1"/>
  <c r="AJ1155" i="1" s="1"/>
  <c r="N42" i="1"/>
  <c r="O42" i="1"/>
  <c r="P42" i="1"/>
  <c r="Q42" i="1"/>
  <c r="M42" i="1"/>
  <c r="M65" i="1"/>
  <c r="L44" i="1"/>
  <c r="M41" i="1"/>
  <c r="L1150" i="1"/>
  <c r="L1148" i="1"/>
  <c r="L1147" i="1"/>
  <c r="L1146" i="1"/>
  <c r="L1145" i="1"/>
  <c r="L1144" i="1"/>
  <c r="L1143" i="1"/>
  <c r="L1142" i="1"/>
  <c r="L1141" i="1"/>
  <c r="L1140" i="1"/>
  <c r="L1138" i="1"/>
  <c r="L1137" i="1"/>
  <c r="L1136" i="1"/>
  <c r="L1135" i="1"/>
  <c r="L1134" i="1"/>
  <c r="L1133" i="1"/>
  <c r="L1129" i="1"/>
  <c r="L1128" i="1"/>
  <c r="L1127" i="1"/>
  <c r="L1124" i="1"/>
  <c r="L1123" i="1"/>
  <c r="L1121" i="1"/>
  <c r="L1118" i="1"/>
  <c r="L1117" i="1"/>
  <c r="L1114" i="1"/>
  <c r="L1113" i="1"/>
  <c r="L1112" i="1"/>
  <c r="L1109" i="1"/>
  <c r="L1108" i="1"/>
  <c r="L1107" i="1"/>
  <c r="L1106" i="1"/>
  <c r="L1105" i="1"/>
  <c r="L1104" i="1"/>
  <c r="L1101" i="1"/>
  <c r="L1100" i="1"/>
  <c r="L1099" i="1"/>
  <c r="L1098" i="1"/>
  <c r="L1095" i="1"/>
  <c r="L1094" i="1"/>
  <c r="L1093" i="1"/>
  <c r="L1092" i="1"/>
  <c r="L1091" i="1"/>
  <c r="L1090" i="1"/>
  <c r="L1087" i="1"/>
  <c r="L1086" i="1"/>
  <c r="L1083" i="1"/>
  <c r="L1080" i="1"/>
  <c r="L1079" i="1"/>
  <c r="L1076" i="1"/>
  <c r="L1075" i="1"/>
  <c r="L1074" i="1"/>
  <c r="L1073" i="1"/>
  <c r="L1072" i="1"/>
  <c r="L1071" i="1"/>
  <c r="L1065" i="1"/>
  <c r="L1064" i="1"/>
  <c r="L1063" i="1"/>
  <c r="L1062" i="1"/>
  <c r="L1061" i="1"/>
  <c r="L1060" i="1"/>
  <c r="L1059" i="1"/>
  <c r="L1058" i="1"/>
  <c r="L1055" i="1"/>
  <c r="L1054" i="1"/>
  <c r="L1053" i="1"/>
  <c r="L1052" i="1"/>
  <c r="L1051" i="1"/>
  <c r="L1050" i="1"/>
  <c r="L1049" i="1"/>
  <c r="L1048" i="1"/>
  <c r="L1047" i="1"/>
  <c r="L1046" i="1"/>
  <c r="L1045" i="1"/>
  <c r="L1044" i="1"/>
  <c r="L1043" i="1"/>
  <c r="L1042" i="1"/>
  <c r="L1041" i="1"/>
  <c r="L1040" i="1"/>
  <c r="L1039" i="1"/>
  <c r="L1038" i="1"/>
  <c r="L1037" i="1"/>
  <c r="L1036" i="1"/>
  <c r="L1035" i="1"/>
  <c r="L1034" i="1"/>
  <c r="L1033" i="1"/>
  <c r="L1032" i="1"/>
  <c r="L1031" i="1"/>
  <c r="L1030" i="1"/>
  <c r="L1029" i="1"/>
  <c r="L1028" i="1"/>
  <c r="L1027" i="1"/>
  <c r="L1026" i="1"/>
  <c r="L1025" i="1"/>
  <c r="L1024" i="1"/>
  <c r="L1023" i="1"/>
  <c r="L1022" i="1"/>
  <c r="L1018" i="1"/>
  <c r="L1017" i="1"/>
  <c r="L1016" i="1"/>
  <c r="L1015" i="1"/>
  <c r="L1014" i="1"/>
  <c r="L1013" i="1"/>
  <c r="L1012" i="1"/>
  <c r="L1011" i="1"/>
  <c r="L1010" i="1"/>
  <c r="L1009" i="1"/>
  <c r="L1008" i="1"/>
  <c r="L1007" i="1"/>
  <c r="L1006" i="1"/>
  <c r="L1005" i="1"/>
  <c r="L1002" i="1"/>
  <c r="L1001" i="1"/>
  <c r="L1000" i="1"/>
  <c r="L999" i="1"/>
  <c r="L998" i="1"/>
  <c r="L997" i="1"/>
  <c r="L996" i="1"/>
  <c r="L995" i="1"/>
  <c r="L994" i="1"/>
  <c r="L993" i="1"/>
  <c r="L895" i="1"/>
  <c r="L893" i="1"/>
  <c r="L892" i="1"/>
  <c r="L891" i="1"/>
  <c r="L890" i="1"/>
  <c r="L889" i="1"/>
  <c r="L888" i="1"/>
  <c r="L887" i="1"/>
  <c r="L886" i="1"/>
  <c r="L885" i="1"/>
  <c r="L882" i="1"/>
  <c r="L881" i="1"/>
  <c r="L880" i="1"/>
  <c r="L878" i="1"/>
  <c r="L877" i="1"/>
  <c r="L876" i="1"/>
  <c r="L875" i="1"/>
  <c r="L874" i="1"/>
  <c r="L873" i="1"/>
  <c r="L872" i="1"/>
  <c r="L871" i="1"/>
  <c r="L870" i="1"/>
  <c r="L869" i="1"/>
  <c r="L866" i="1"/>
  <c r="L865" i="1"/>
  <c r="L864" i="1"/>
  <c r="L863" i="1"/>
  <c r="L862" i="1"/>
  <c r="L854" i="1"/>
  <c r="L853" i="1"/>
  <c r="L852" i="1"/>
  <c r="L850" i="1"/>
  <c r="L849" i="1"/>
  <c r="L848" i="1"/>
  <c r="L842" i="1"/>
  <c r="L841" i="1"/>
  <c r="L840" i="1"/>
  <c r="L839" i="1"/>
  <c r="L838" i="1"/>
  <c r="L837" i="1"/>
  <c r="L834" i="1"/>
  <c r="L832" i="1"/>
  <c r="L831" i="1"/>
  <c r="L830" i="1"/>
  <c r="L829" i="1"/>
  <c r="L828" i="1"/>
  <c r="L827" i="1"/>
  <c r="L826" i="1"/>
  <c r="L825" i="1"/>
  <c r="L824" i="1"/>
  <c r="L823" i="1"/>
  <c r="L822" i="1"/>
  <c r="L819" i="1"/>
  <c r="L816" i="1"/>
  <c r="L811" i="1"/>
  <c r="L810" i="1"/>
  <c r="L809" i="1"/>
  <c r="L808" i="1"/>
  <c r="L807" i="1"/>
  <c r="L804" i="1"/>
  <c r="L801" i="1"/>
  <c r="L798" i="1"/>
  <c r="L795" i="1"/>
  <c r="L794" i="1"/>
  <c r="L791" i="1"/>
  <c r="L790" i="1"/>
  <c r="L789" i="1"/>
  <c r="L788" i="1"/>
  <c r="L787" i="1"/>
  <c r="L786" i="1"/>
  <c r="L785" i="1"/>
  <c r="L784" i="1"/>
  <c r="L783" i="1"/>
  <c r="L782" i="1"/>
  <c r="L781" i="1"/>
  <c r="L780" i="1"/>
  <c r="L779" i="1"/>
  <c r="L778" i="1"/>
  <c r="L777" i="1"/>
  <c r="L776" i="1"/>
  <c r="L775" i="1"/>
  <c r="L772" i="1"/>
  <c r="L769" i="1"/>
  <c r="L767" i="1" s="1"/>
  <c r="L766" i="1"/>
  <c r="L765" i="1"/>
  <c r="L762" i="1"/>
  <c r="L761" i="1"/>
  <c r="L758" i="1"/>
  <c r="L757" i="1"/>
  <c r="L749" i="1"/>
  <c r="L735" i="1"/>
  <c r="L724" i="1"/>
  <c r="L722" i="1" s="1"/>
  <c r="L721" i="1"/>
  <c r="L720" i="1"/>
  <c r="L719" i="1"/>
  <c r="L718" i="1"/>
  <c r="L716" i="1"/>
  <c r="L715" i="1"/>
  <c r="L711" i="1"/>
  <c r="L710" i="1"/>
  <c r="L709" i="1"/>
  <c r="L708" i="1"/>
  <c r="L706" i="1"/>
  <c r="L705" i="1"/>
  <c r="L704" i="1"/>
  <c r="L703" i="1"/>
  <c r="L702" i="1"/>
  <c r="L701" i="1"/>
  <c r="L699" i="1"/>
  <c r="L698" i="1"/>
  <c r="L697" i="1"/>
  <c r="L696" i="1"/>
  <c r="L695" i="1"/>
  <c r="L694" i="1"/>
  <c r="L693" i="1"/>
  <c r="L692" i="1"/>
  <c r="L691" i="1"/>
  <c r="L690" i="1"/>
  <c r="L689" i="1"/>
  <c r="L688" i="1"/>
  <c r="L687" i="1"/>
  <c r="L686" i="1"/>
  <c r="L685" i="1"/>
  <c r="L684" i="1"/>
  <c r="L683" i="1"/>
  <c r="L682" i="1"/>
  <c r="L680" i="1"/>
  <c r="L679" i="1"/>
  <c r="L678" i="1"/>
  <c r="L677" i="1"/>
  <c r="L676" i="1"/>
  <c r="L675" i="1"/>
  <c r="L674" i="1"/>
  <c r="L671" i="1"/>
  <c r="L670" i="1"/>
  <c r="L669" i="1"/>
  <c r="L668" i="1"/>
  <c r="L667" i="1"/>
  <c r="L666" i="1"/>
  <c r="L665" i="1"/>
  <c r="L664" i="1"/>
  <c r="L663" i="1"/>
  <c r="L662" i="1"/>
  <c r="L661" i="1"/>
  <c r="L660" i="1"/>
  <c r="L659" i="1"/>
  <c r="L658" i="1"/>
  <c r="L657" i="1"/>
  <c r="L653" i="1"/>
  <c r="L652" i="1"/>
  <c r="L651" i="1"/>
  <c r="L650" i="1"/>
  <c r="L647" i="1"/>
  <c r="L646" i="1"/>
  <c r="L644" i="1"/>
  <c r="L643" i="1"/>
  <c r="L641" i="1"/>
  <c r="L640" i="1"/>
  <c r="L639" i="1"/>
  <c r="L638" i="1"/>
  <c r="L637" i="1"/>
  <c r="L627" i="1"/>
  <c r="L626" i="1"/>
  <c r="L625" i="1"/>
  <c r="L624" i="1"/>
  <c r="L623" i="1"/>
  <c r="L622" i="1"/>
  <c r="L621" i="1"/>
  <c r="L620" i="1"/>
  <c r="L619" i="1"/>
  <c r="L614" i="1"/>
  <c r="L613" i="1"/>
  <c r="L612" i="1"/>
  <c r="L611" i="1"/>
  <c r="L610" i="1"/>
  <c r="L609" i="1"/>
  <c r="L608" i="1"/>
  <c r="L606" i="1"/>
  <c r="L604" i="1"/>
  <c r="L603" i="1"/>
  <c r="L602" i="1"/>
  <c r="L601" i="1"/>
  <c r="L600" i="1"/>
  <c r="L599" i="1"/>
  <c r="L598" i="1"/>
  <c r="L594" i="1"/>
  <c r="L593" i="1"/>
  <c r="L592" i="1"/>
  <c r="L591" i="1"/>
  <c r="L590" i="1"/>
  <c r="L586" i="1"/>
  <c r="L585" i="1"/>
  <c r="L584" i="1"/>
  <c r="L583" i="1"/>
  <c r="L582" i="1"/>
  <c r="L581" i="1"/>
  <c r="L580" i="1"/>
  <c r="L579" i="1"/>
  <c r="L578" i="1"/>
  <c r="L576" i="1"/>
  <c r="L575" i="1"/>
  <c r="L574" i="1"/>
  <c r="L573" i="1"/>
  <c r="L572" i="1"/>
  <c r="L571" i="1"/>
  <c r="L568" i="1"/>
  <c r="L567" i="1"/>
  <c r="L566" i="1"/>
  <c r="L565" i="1"/>
  <c r="L562" i="1"/>
  <c r="L561" i="1"/>
  <c r="L560" i="1"/>
  <c r="L559" i="1"/>
  <c r="L558" i="1"/>
  <c r="L557" i="1"/>
  <c r="L556" i="1"/>
  <c r="L555" i="1"/>
  <c r="L554" i="1"/>
  <c r="L553" i="1"/>
  <c r="L552" i="1"/>
  <c r="L551" i="1"/>
  <c r="L550" i="1"/>
  <c r="L549" i="1"/>
  <c r="L548" i="1"/>
  <c r="L547" i="1"/>
  <c r="L546" i="1"/>
  <c r="L545" i="1"/>
  <c r="L544" i="1"/>
  <c r="L543" i="1"/>
  <c r="L542" i="1"/>
  <c r="L541" i="1"/>
  <c r="L540" i="1"/>
  <c r="L539" i="1"/>
  <c r="L538" i="1"/>
  <c r="L537" i="1"/>
  <c r="L536" i="1"/>
  <c r="L535" i="1"/>
  <c r="L534" i="1"/>
  <c r="L533" i="1"/>
  <c r="L531" i="1"/>
  <c r="L529" i="1"/>
  <c r="L528" i="1"/>
  <c r="L527" i="1"/>
  <c r="L526" i="1"/>
  <c r="L521" i="1"/>
  <c r="L519" i="1"/>
  <c r="L518" i="1"/>
  <c r="L517" i="1"/>
  <c r="L516" i="1"/>
  <c r="L515" i="1"/>
  <c r="L510" i="1"/>
  <c r="L509" i="1"/>
  <c r="L508" i="1"/>
  <c r="L507" i="1"/>
  <c r="L506" i="1"/>
  <c r="L505" i="1"/>
  <c r="L504" i="1"/>
  <c r="L503" i="1"/>
  <c r="L502" i="1"/>
  <c r="L501" i="1"/>
  <c r="L500" i="1"/>
  <c r="L497" i="1"/>
  <c r="L495" i="1"/>
  <c r="L494" i="1"/>
  <c r="L491" i="1"/>
  <c r="L490" i="1"/>
  <c r="L489" i="1"/>
  <c r="L486" i="1"/>
  <c r="L485" i="1"/>
  <c r="L484" i="1"/>
  <c r="L483" i="1"/>
  <c r="L482" i="1"/>
  <c r="L481" i="1"/>
  <c r="L480" i="1"/>
  <c r="L479" i="1"/>
  <c r="L478" i="1"/>
  <c r="L477" i="1"/>
  <c r="L476" i="1"/>
  <c r="L475" i="1"/>
  <c r="L474" i="1"/>
  <c r="L473" i="1"/>
  <c r="L472" i="1"/>
  <c r="L471" i="1"/>
  <c r="L470" i="1"/>
  <c r="L469" i="1"/>
  <c r="L468" i="1"/>
  <c r="L466" i="1"/>
  <c r="L460" i="1"/>
  <c r="L457" i="1"/>
  <c r="L456" i="1"/>
  <c r="L455" i="1"/>
  <c r="L454" i="1"/>
  <c r="L453" i="1"/>
  <c r="L452" i="1"/>
  <c r="L451" i="1"/>
  <c r="L449" i="1"/>
  <c r="L448" i="1"/>
  <c r="L446" i="1"/>
  <c r="L445" i="1"/>
  <c r="L444" i="1"/>
  <c r="L443" i="1"/>
  <c r="L442" i="1"/>
  <c r="L441" i="1"/>
  <c r="L440" i="1"/>
  <c r="L439" i="1"/>
  <c r="L438" i="1"/>
  <c r="L437" i="1"/>
  <c r="L436" i="1"/>
  <c r="L435" i="1"/>
  <c r="L433" i="1"/>
  <c r="L432" i="1"/>
  <c r="L431" i="1"/>
  <c r="L430" i="1"/>
  <c r="L429" i="1"/>
  <c r="L428" i="1"/>
  <c r="L427" i="1"/>
  <c r="L426" i="1"/>
  <c r="L425" i="1"/>
  <c r="L424" i="1"/>
  <c r="L423" i="1"/>
  <c r="L422" i="1"/>
  <c r="L421" i="1"/>
  <c r="L420" i="1"/>
  <c r="L419" i="1"/>
  <c r="L418" i="1"/>
  <c r="L416" i="1"/>
  <c r="L415" i="1"/>
  <c r="L414" i="1"/>
  <c r="L413" i="1"/>
  <c r="L412" i="1"/>
  <c r="L411" i="1"/>
  <c r="L410" i="1"/>
  <c r="L409" i="1"/>
  <c r="L408" i="1"/>
  <c r="L406" i="1"/>
  <c r="L405" i="1"/>
  <c r="L404" i="1"/>
  <c r="L403" i="1"/>
  <c r="L402" i="1"/>
  <c r="L401" i="1"/>
  <c r="L400" i="1"/>
  <c r="L399" i="1"/>
  <c r="L398" i="1"/>
  <c r="L396" i="1"/>
  <c r="L390" i="1"/>
  <c r="L388" i="1"/>
  <c r="L387" i="1"/>
  <c r="L386" i="1"/>
  <c r="L385" i="1"/>
  <c r="L384" i="1"/>
  <c r="L383" i="1"/>
  <c r="L382" i="1"/>
  <c r="L381" i="1"/>
  <c r="L378" i="1"/>
  <c r="L377" i="1"/>
  <c r="L376" i="1"/>
  <c r="L375" i="1"/>
  <c r="L374" i="1"/>
  <c r="L373" i="1"/>
  <c r="L372" i="1"/>
  <c r="L371" i="1"/>
  <c r="L370" i="1"/>
  <c r="L369" i="1"/>
  <c r="L368" i="1"/>
  <c r="L367" i="1"/>
  <c r="L366" i="1"/>
  <c r="L365" i="1"/>
  <c r="L364" i="1"/>
  <c r="L363" i="1"/>
  <c r="L362" i="1"/>
  <c r="L361" i="1"/>
  <c r="L360" i="1"/>
  <c r="L359" i="1"/>
  <c r="L358" i="1"/>
  <c r="L357" i="1"/>
  <c r="L356" i="1"/>
  <c r="L355" i="1"/>
  <c r="L354" i="1"/>
  <c r="L353" i="1"/>
  <c r="L352" i="1"/>
  <c r="L351" i="1"/>
  <c r="L350" i="1"/>
  <c r="L349" i="1"/>
  <c r="L348" i="1"/>
  <c r="L347" i="1"/>
  <c r="L346" i="1"/>
  <c r="L345" i="1"/>
  <c r="L344" i="1"/>
  <c r="L343" i="1"/>
  <c r="L342" i="1"/>
  <c r="L341" i="1"/>
  <c r="L340" i="1"/>
  <c r="L339" i="1"/>
  <c r="L338" i="1"/>
  <c r="L337" i="1"/>
  <c r="L336" i="1"/>
  <c r="L335" i="1"/>
  <c r="L334" i="1"/>
  <c r="L333" i="1"/>
  <c r="L332" i="1"/>
  <c r="L331" i="1"/>
  <c r="L330" i="1"/>
  <c r="L329" i="1"/>
  <c r="L328" i="1"/>
  <c r="L327" i="1"/>
  <c r="L326" i="1"/>
  <c r="L325" i="1"/>
  <c r="L324" i="1"/>
  <c r="L323" i="1"/>
  <c r="L322" i="1"/>
  <c r="L321" i="1"/>
  <c r="L320" i="1"/>
  <c r="L319" i="1"/>
  <c r="L318" i="1"/>
  <c r="L317" i="1"/>
  <c r="L316" i="1"/>
  <c r="L315" i="1"/>
  <c r="L314" i="1"/>
  <c r="L313" i="1"/>
  <c r="L312" i="1"/>
  <c r="L311" i="1"/>
  <c r="L310" i="1"/>
  <c r="L309" i="1"/>
  <c r="L308" i="1"/>
  <c r="L307" i="1"/>
  <c r="L306" i="1"/>
  <c r="L305" i="1"/>
  <c r="L304" i="1"/>
  <c r="L303" i="1"/>
  <c r="L302" i="1"/>
  <c r="L301" i="1"/>
  <c r="L300" i="1"/>
  <c r="L299" i="1"/>
  <c r="L298" i="1"/>
  <c r="L297" i="1"/>
  <c r="L296" i="1"/>
  <c r="L295" i="1"/>
  <c r="L294" i="1"/>
  <c r="L293" i="1"/>
  <c r="L292" i="1"/>
  <c r="L291" i="1"/>
  <c r="L290" i="1"/>
  <c r="L289" i="1"/>
  <c r="L288" i="1"/>
  <c r="L287" i="1"/>
  <c r="L286" i="1"/>
  <c r="L285" i="1"/>
  <c r="L284" i="1"/>
  <c r="L283" i="1"/>
  <c r="L282" i="1"/>
  <c r="L281" i="1"/>
  <c r="L280" i="1"/>
  <c r="L279" i="1"/>
  <c r="L278" i="1"/>
  <c r="L277" i="1"/>
  <c r="L276" i="1"/>
  <c r="L275" i="1"/>
  <c r="L274" i="1"/>
  <c r="L273" i="1"/>
  <c r="L272" i="1"/>
  <c r="L271" i="1"/>
  <c r="L270" i="1"/>
  <c r="L269" i="1"/>
  <c r="L268" i="1"/>
  <c r="L267" i="1"/>
  <c r="L266" i="1"/>
  <c r="L265" i="1"/>
  <c r="L264" i="1"/>
  <c r="L263" i="1"/>
  <c r="L262" i="1"/>
  <c r="L260" i="1"/>
  <c r="L259" i="1"/>
  <c r="L258" i="1"/>
  <c r="L257" i="1"/>
  <c r="L256" i="1"/>
  <c r="L255" i="1"/>
  <c r="L254" i="1"/>
  <c r="L253" i="1"/>
  <c r="L252" i="1"/>
  <c r="L251" i="1"/>
  <c r="L250" i="1"/>
  <c r="L249" i="1"/>
  <c r="L248" i="1"/>
  <c r="L247" i="1"/>
  <c r="L246" i="1"/>
  <c r="L244" i="1"/>
  <c r="L242" i="1"/>
  <c r="L241" i="1"/>
  <c r="L240" i="1"/>
  <c r="L239" i="1"/>
  <c r="L238" i="1"/>
  <c r="L237" i="1"/>
  <c r="L236" i="1"/>
  <c r="L235" i="1"/>
  <c r="L234" i="1"/>
  <c r="L233" i="1"/>
  <c r="L232" i="1"/>
  <c r="L231" i="1"/>
  <c r="L230" i="1"/>
  <c r="L229" i="1"/>
  <c r="L228" i="1"/>
  <c r="L227" i="1"/>
  <c r="L226" i="1"/>
  <c r="L224" i="1"/>
  <c r="L223" i="1"/>
  <c r="L222" i="1"/>
  <c r="L221" i="1"/>
  <c r="L220" i="1"/>
  <c r="L219" i="1"/>
  <c r="L218" i="1"/>
  <c r="L217" i="1"/>
  <c r="L216" i="1"/>
  <c r="L215" i="1"/>
  <c r="L214" i="1"/>
  <c r="L213" i="1"/>
  <c r="L212" i="1"/>
  <c r="L211" i="1"/>
  <c r="L210" i="1"/>
  <c r="L209" i="1"/>
  <c r="L208" i="1"/>
  <c r="L207" i="1"/>
  <c r="L206" i="1"/>
  <c r="L205" i="1"/>
  <c r="L204" i="1"/>
  <c r="L203" i="1"/>
  <c r="L202" i="1"/>
  <c r="L201" i="1"/>
  <c r="L200" i="1"/>
  <c r="L199" i="1"/>
  <c r="L198" i="1"/>
  <c r="L197" i="1"/>
  <c r="L196" i="1"/>
  <c r="L195" i="1"/>
  <c r="L194" i="1"/>
  <c r="L193" i="1"/>
  <c r="L192" i="1"/>
  <c r="L191" i="1"/>
  <c r="L190" i="1"/>
  <c r="L189" i="1"/>
  <c r="L188" i="1"/>
  <c r="L187" i="1"/>
  <c r="L186" i="1"/>
  <c r="L185" i="1"/>
  <c r="L184" i="1"/>
  <c r="L183" i="1"/>
  <c r="L182" i="1"/>
  <c r="L181" i="1"/>
  <c r="L180" i="1"/>
  <c r="L179" i="1"/>
  <c r="L178" i="1"/>
  <c r="L177" i="1"/>
  <c r="L176" i="1"/>
  <c r="L175" i="1"/>
  <c r="L174" i="1"/>
  <c r="L173" i="1"/>
  <c r="L172" i="1"/>
  <c r="L171" i="1"/>
  <c r="L170" i="1"/>
  <c r="L169" i="1"/>
  <c r="L168" i="1"/>
  <c r="L167" i="1"/>
  <c r="L166" i="1"/>
  <c r="L165" i="1"/>
  <c r="L164" i="1"/>
  <c r="L163" i="1"/>
  <c r="L162" i="1"/>
  <c r="L161" i="1"/>
  <c r="L160" i="1"/>
  <c r="L159" i="1"/>
  <c r="L158" i="1"/>
  <c r="L157" i="1"/>
  <c r="L156" i="1"/>
  <c r="L155" i="1"/>
  <c r="L154" i="1"/>
  <c r="L153" i="1"/>
  <c r="L152" i="1"/>
  <c r="L151" i="1"/>
  <c r="L150" i="1"/>
  <c r="L149" i="1"/>
  <c r="L148" i="1"/>
  <c r="L146" i="1"/>
  <c r="L145" i="1"/>
  <c r="L144" i="1"/>
  <c r="L143" i="1"/>
  <c r="L142" i="1"/>
  <c r="L141" i="1"/>
  <c r="L140" i="1"/>
  <c r="L139" i="1"/>
  <c r="L138" i="1"/>
  <c r="L137" i="1"/>
  <c r="L136" i="1"/>
  <c r="L135" i="1"/>
  <c r="L134" i="1"/>
  <c r="L133" i="1"/>
  <c r="L132" i="1"/>
  <c r="L131" i="1"/>
  <c r="L130" i="1"/>
  <c r="L128" i="1"/>
  <c r="L127" i="1"/>
  <c r="L125" i="1"/>
  <c r="L124" i="1"/>
  <c r="L123" i="1"/>
  <c r="L121" i="1"/>
  <c r="L120" i="1"/>
  <c r="L119" i="1"/>
  <c r="L118" i="1"/>
  <c r="L117" i="1"/>
  <c r="L116" i="1"/>
  <c r="L115" i="1"/>
  <c r="L114" i="1"/>
  <c r="L113" i="1"/>
  <c r="L112" i="1"/>
  <c r="L111" i="1"/>
  <c r="L110" i="1"/>
  <c r="L109" i="1"/>
  <c r="L108" i="1"/>
  <c r="L107" i="1"/>
  <c r="L104" i="1"/>
  <c r="L102" i="1"/>
  <c r="L101" i="1"/>
  <c r="L100" i="1"/>
  <c r="L99" i="1"/>
  <c r="L98" i="1"/>
  <c r="L97" i="1"/>
  <c r="L96" i="1"/>
  <c r="L95" i="1"/>
  <c r="L94" i="1"/>
  <c r="L93" i="1"/>
  <c r="L92" i="1"/>
  <c r="L91" i="1"/>
  <c r="L90" i="1"/>
  <c r="L89" i="1"/>
  <c r="L88" i="1"/>
  <c r="L87" i="1"/>
  <c r="L86" i="1"/>
  <c r="L85" i="1"/>
  <c r="L84" i="1"/>
  <c r="L83" i="1"/>
  <c r="L82" i="1"/>
  <c r="L81" i="1"/>
  <c r="L80" i="1"/>
  <c r="L79" i="1"/>
  <c r="L78" i="1"/>
  <c r="L77" i="1"/>
  <c r="L76" i="1"/>
  <c r="L75" i="1"/>
  <c r="L74" i="1"/>
  <c r="L73" i="1"/>
  <c r="L72" i="1"/>
  <c r="L71" i="1"/>
  <c r="L70" i="1"/>
  <c r="L69" i="1"/>
  <c r="L68" i="1"/>
  <c r="L67" i="1"/>
  <c r="L60" i="1"/>
  <c r="L59" i="1"/>
  <c r="L58" i="1"/>
  <c r="L57" i="1"/>
  <c r="L56" i="1"/>
  <c r="L55" i="1"/>
  <c r="L54" i="1"/>
  <c r="L53" i="1"/>
  <c r="L52" i="1"/>
  <c r="L51" i="1"/>
  <c r="L50" i="1"/>
  <c r="L49" i="1"/>
  <c r="L48" i="1"/>
  <c r="L47" i="1"/>
  <c r="L46" i="1"/>
  <c r="L45" i="1"/>
  <c r="L40" i="1"/>
  <c r="L37" i="1"/>
  <c r="L34" i="1"/>
  <c r="L33" i="1"/>
  <c r="L32" i="1"/>
  <c r="L29" i="1"/>
  <c r="L28" i="1"/>
  <c r="L27" i="1"/>
  <c r="L26" i="1"/>
  <c r="L25" i="1"/>
  <c r="L24" i="1"/>
  <c r="L23" i="1"/>
  <c r="L22" i="1"/>
  <c r="L21" i="1"/>
  <c r="L20" i="1"/>
  <c r="L19" i="1"/>
  <c r="L18" i="1"/>
  <c r="L17" i="1"/>
  <c r="L15" i="1"/>
  <c r="L12" i="1"/>
  <c r="L11" i="1"/>
  <c r="L10" i="1"/>
  <c r="L9" i="1"/>
  <c r="L8" i="1"/>
  <c r="M13" i="1"/>
  <c r="M6" i="1"/>
  <c r="M1152" i="1"/>
  <c r="M1125" i="1"/>
  <c r="M1119" i="1"/>
  <c r="M1115" i="1"/>
  <c r="M1110" i="1"/>
  <c r="M1102" i="1"/>
  <c r="M1096" i="1"/>
  <c r="M1088" i="1"/>
  <c r="M1084" i="1"/>
  <c r="M1081" i="1"/>
  <c r="M1077" i="1"/>
  <c r="M1069" i="1"/>
  <c r="M1066" i="1"/>
  <c r="M1056" i="1"/>
  <c r="M1003" i="1"/>
  <c r="M991" i="1"/>
  <c r="M883" i="1"/>
  <c r="M867" i="1"/>
  <c r="M856" i="1"/>
  <c r="M846" i="1"/>
  <c r="M835" i="1"/>
  <c r="M820" i="1"/>
  <c r="M817" i="1"/>
  <c r="M814" i="1"/>
  <c r="M802" i="1"/>
  <c r="M796" i="1"/>
  <c r="M792" i="1"/>
  <c r="M773" i="1"/>
  <c r="M763" i="1"/>
  <c r="M759" i="1"/>
  <c r="M648" i="1"/>
  <c r="M588" i="1"/>
  <c r="M563" i="1"/>
  <c r="M492" i="1"/>
  <c r="M487" i="1"/>
  <c r="M464" i="1"/>
  <c r="M35" i="1"/>
  <c r="M30" i="1"/>
  <c r="M3" i="1"/>
  <c r="M986" i="1" l="1"/>
  <c r="L6" i="1"/>
  <c r="L605" i="1"/>
  <c r="M595" i="1"/>
  <c r="M38" i="1"/>
  <c r="L41" i="1"/>
  <c r="L38" i="1" s="1"/>
  <c r="R897" i="1"/>
  <c r="R910" i="1"/>
  <c r="R913" i="1"/>
  <c r="L42" i="1"/>
  <c r="L30" i="1"/>
  <c r="L805" i="1"/>
  <c r="M1131" i="1"/>
  <c r="L1149" i="1"/>
  <c r="L1131" i="1" s="1"/>
  <c r="O972" i="1"/>
  <c r="M953" i="1"/>
  <c r="L924" i="1"/>
  <c r="L921" i="1" s="1"/>
  <c r="R921" i="1" s="1"/>
  <c r="N916" i="1"/>
  <c r="L961" i="1"/>
  <c r="L953" i="1" s="1"/>
  <c r="O916" i="1"/>
  <c r="P930" i="1"/>
  <c r="L917" i="1"/>
  <c r="R917" i="1" s="1"/>
  <c r="N930" i="1"/>
  <c r="O930" i="1"/>
  <c r="M981" i="1"/>
  <c r="M916" i="1"/>
  <c r="P916" i="1"/>
  <c r="Q930" i="1"/>
  <c r="AJ930" i="1"/>
  <c r="L962" i="1"/>
  <c r="R962" i="1" s="1"/>
  <c r="L986" i="1"/>
  <c r="L925" i="1"/>
  <c r="R925" i="1" s="1"/>
  <c r="L973" i="1"/>
  <c r="M973" i="1"/>
  <c r="L984" i="1"/>
  <c r="L981" i="1" s="1"/>
  <c r="L900" i="1"/>
  <c r="R900" i="1" s="1"/>
  <c r="O896" i="1"/>
  <c r="N972" i="1"/>
  <c r="P972" i="1"/>
  <c r="M931" i="1"/>
  <c r="Q972" i="1"/>
  <c r="AJ972" i="1"/>
  <c r="L939" i="1"/>
  <c r="L931" i="1" s="1"/>
  <c r="L905" i="1"/>
  <c r="R905" i="1" s="1"/>
  <c r="Q916" i="1"/>
  <c r="AJ916" i="1"/>
  <c r="P896" i="1"/>
  <c r="N896" i="1"/>
  <c r="Q896" i="1"/>
  <c r="AJ896" i="1"/>
  <c r="M896" i="1"/>
  <c r="M654" i="1"/>
  <c r="L672" i="1"/>
  <c r="M672" i="1"/>
  <c r="M990" i="1"/>
  <c r="R986" i="1" l="1"/>
  <c r="R42" i="1"/>
  <c r="R981" i="1"/>
  <c r="R931" i="1"/>
  <c r="R953" i="1"/>
  <c r="R973" i="1"/>
  <c r="M972" i="1"/>
  <c r="M930" i="1"/>
  <c r="L916" i="1"/>
  <c r="R916" i="1" s="1"/>
  <c r="L972" i="1"/>
  <c r="L930" i="1"/>
  <c r="L896" i="1"/>
  <c r="R896" i="1" s="1"/>
  <c r="O1131" i="1"/>
  <c r="O1125" i="1"/>
  <c r="O1119" i="1"/>
  <c r="O1115" i="1"/>
  <c r="O1110" i="1"/>
  <c r="O1102" i="1"/>
  <c r="O1096" i="1"/>
  <c r="O1088" i="1"/>
  <c r="O1084" i="1"/>
  <c r="O1081" i="1"/>
  <c r="O1077" i="1"/>
  <c r="O1069" i="1"/>
  <c r="O1066" i="1"/>
  <c r="O1056" i="1"/>
  <c r="O1003" i="1"/>
  <c r="O991" i="1"/>
  <c r="O883" i="1"/>
  <c r="O867" i="1"/>
  <c r="O856" i="1"/>
  <c r="O846" i="1"/>
  <c r="O835" i="1"/>
  <c r="O820" i="1"/>
  <c r="O817" i="1"/>
  <c r="O814" i="1"/>
  <c r="O805" i="1"/>
  <c r="O802" i="1"/>
  <c r="O799" i="1"/>
  <c r="O796" i="1"/>
  <c r="O792" i="1"/>
  <c r="O773" i="1"/>
  <c r="O763" i="1"/>
  <c r="O759" i="1"/>
  <c r="O672" i="1"/>
  <c r="O654" i="1"/>
  <c r="O648" i="1"/>
  <c r="O588" i="1"/>
  <c r="O563" i="1"/>
  <c r="O492" i="1"/>
  <c r="O487" i="1"/>
  <c r="O464" i="1"/>
  <c r="O65" i="1"/>
  <c r="O38" i="1"/>
  <c r="O35" i="1"/>
  <c r="O30" i="1"/>
  <c r="O13" i="1"/>
  <c r="O6" i="1"/>
  <c r="O3" i="1"/>
  <c r="R930" i="1" l="1"/>
  <c r="R972" i="1"/>
  <c r="M1155" i="1"/>
  <c r="O990" i="1"/>
  <c r="O1155" i="1" s="1"/>
  <c r="Q645" i="1" l="1"/>
  <c r="L645" i="1" s="1"/>
  <c r="Q642" i="1" l="1"/>
  <c r="Q595" i="1" s="1"/>
  <c r="N487" i="1"/>
  <c r="AJ16" i="1"/>
  <c r="P16" i="1"/>
  <c r="P13" i="1" s="1"/>
  <c r="Q16" i="1"/>
  <c r="Q13" i="1" s="1"/>
  <c r="L1081" i="1"/>
  <c r="L817" i="1"/>
  <c r="L814" i="1"/>
  <c r="L796" i="1"/>
  <c r="L35" i="1"/>
  <c r="Q1131" i="1"/>
  <c r="Q1125" i="1"/>
  <c r="Q1119" i="1"/>
  <c r="Q1115" i="1"/>
  <c r="Q1110" i="1"/>
  <c r="Q1102" i="1"/>
  <c r="Q1096" i="1"/>
  <c r="Q1088" i="1"/>
  <c r="Q1084" i="1"/>
  <c r="Q1081" i="1"/>
  <c r="Q1077" i="1"/>
  <c r="Q1069" i="1"/>
  <c r="Q1066" i="1"/>
  <c r="Q1056" i="1"/>
  <c r="Q1003" i="1"/>
  <c r="Q991" i="1"/>
  <c r="Q883" i="1"/>
  <c r="Q867" i="1"/>
  <c r="Q856" i="1"/>
  <c r="Q846" i="1"/>
  <c r="Q835" i="1"/>
  <c r="Q820" i="1"/>
  <c r="Q817" i="1"/>
  <c r="Q814" i="1"/>
  <c r="Q805" i="1"/>
  <c r="Q802" i="1"/>
  <c r="Q799" i="1"/>
  <c r="Q796" i="1"/>
  <c r="Q792" i="1"/>
  <c r="Q773" i="1"/>
  <c r="Q763" i="1"/>
  <c r="Q759" i="1"/>
  <c r="Q672" i="1"/>
  <c r="Q654" i="1"/>
  <c r="Q648" i="1"/>
  <c r="Q588" i="1"/>
  <c r="Q563" i="1"/>
  <c r="Q492" i="1"/>
  <c r="Q487" i="1"/>
  <c r="Q464" i="1"/>
  <c r="Q65" i="1"/>
  <c r="Q38" i="1"/>
  <c r="Q35" i="1"/>
  <c r="Q30" i="1"/>
  <c r="Q6" i="1"/>
  <c r="Q3" i="1"/>
  <c r="P1152" i="1"/>
  <c r="P1131" i="1"/>
  <c r="P1125" i="1"/>
  <c r="P1119" i="1"/>
  <c r="P1115" i="1"/>
  <c r="P1110" i="1"/>
  <c r="P1102" i="1"/>
  <c r="P1096" i="1"/>
  <c r="P1088" i="1"/>
  <c r="P1084" i="1"/>
  <c r="P1081" i="1"/>
  <c r="P1077" i="1"/>
  <c r="P1069" i="1"/>
  <c r="P1066" i="1"/>
  <c r="P1056" i="1"/>
  <c r="P1003" i="1"/>
  <c r="P991" i="1"/>
  <c r="P883" i="1"/>
  <c r="P867" i="1"/>
  <c r="P856" i="1"/>
  <c r="P846" i="1"/>
  <c r="P835" i="1"/>
  <c r="P820" i="1"/>
  <c r="P817" i="1"/>
  <c r="P814" i="1"/>
  <c r="P805" i="1"/>
  <c r="P802" i="1"/>
  <c r="P799" i="1"/>
  <c r="P796" i="1"/>
  <c r="P792" i="1"/>
  <c r="P773" i="1"/>
  <c r="P763" i="1"/>
  <c r="P759" i="1"/>
  <c r="P672" i="1"/>
  <c r="P654" i="1"/>
  <c r="P648" i="1"/>
  <c r="P588" i="1"/>
  <c r="P563" i="1"/>
  <c r="P492" i="1"/>
  <c r="P487" i="1"/>
  <c r="P464" i="1"/>
  <c r="P65" i="1"/>
  <c r="P38" i="1"/>
  <c r="P35" i="1"/>
  <c r="P30" i="1"/>
  <c r="P6" i="1"/>
  <c r="P3" i="1"/>
  <c r="N13" i="1" l="1"/>
  <c r="L16" i="1"/>
  <c r="L13" i="1" s="1"/>
  <c r="L642" i="1"/>
  <c r="L654" i="1"/>
  <c r="L1077" i="1"/>
  <c r="L1115" i="1"/>
  <c r="L588" i="1"/>
  <c r="L1084" i="1"/>
  <c r="L1110" i="1"/>
  <c r="L487" i="1"/>
  <c r="L867" i="1"/>
  <c r="L991" i="1"/>
  <c r="L1003" i="1"/>
  <c r="L1056" i="1"/>
  <c r="L1069" i="1"/>
  <c r="L1088" i="1"/>
  <c r="L1096" i="1"/>
  <c r="L1102" i="1"/>
  <c r="L1119" i="1"/>
  <c r="L1125" i="1"/>
  <c r="Q990" i="1"/>
  <c r="P990" i="1"/>
  <c r="P1155" i="1" s="1"/>
  <c r="R487" i="1" l="1"/>
  <c r="R13" i="1"/>
  <c r="Q1155" i="1"/>
  <c r="Q1163" i="1" s="1"/>
  <c r="N6" i="1"/>
  <c r="R6" i="1" s="1"/>
  <c r="N3" i="1"/>
  <c r="R3" i="1" s="1"/>
  <c r="R722" i="1"/>
  <c r="N672" i="1"/>
  <c r="R672" i="1" s="1"/>
  <c r="N654" i="1"/>
  <c r="R654" i="1" s="1"/>
  <c r="N648" i="1"/>
  <c r="N38" i="1"/>
  <c r="R38" i="1" s="1"/>
  <c r="N35" i="1"/>
  <c r="R35" i="1" s="1"/>
  <c r="N30" i="1"/>
  <c r="R30" i="1" s="1"/>
  <c r="N1131" i="1"/>
  <c r="R1131" i="1" s="1"/>
  <c r="N814" i="1"/>
  <c r="R814" i="1" s="1"/>
  <c r="N796" i="1"/>
  <c r="R796" i="1" s="1"/>
  <c r="N792" i="1"/>
  <c r="N773" i="1"/>
  <c r="N759" i="1"/>
  <c r="N763" i="1"/>
  <c r="N532" i="1"/>
  <c r="L532" i="1" s="1"/>
  <c r="N530" i="1"/>
  <c r="L530" i="1" s="1"/>
  <c r="N525" i="1"/>
  <c r="L525" i="1" s="1"/>
  <c r="N524" i="1"/>
  <c r="L524" i="1" s="1"/>
  <c r="N523" i="1"/>
  <c r="L523" i="1" s="1"/>
  <c r="N522" i="1"/>
  <c r="L522" i="1" s="1"/>
  <c r="N520" i="1"/>
  <c r="L520" i="1" s="1"/>
  <c r="N514" i="1"/>
  <c r="L514" i="1" s="1"/>
  <c r="N513" i="1"/>
  <c r="L513" i="1" s="1"/>
  <c r="N512" i="1"/>
  <c r="L512" i="1" s="1"/>
  <c r="N511" i="1"/>
  <c r="L511" i="1" s="1"/>
  <c r="N499" i="1"/>
  <c r="L499" i="1" s="1"/>
  <c r="N498" i="1"/>
  <c r="L498" i="1" s="1"/>
  <c r="N496" i="1"/>
  <c r="L496" i="1" s="1"/>
  <c r="N577" i="1"/>
  <c r="L577" i="1" s="1"/>
  <c r="N570" i="1"/>
  <c r="L570" i="1" s="1"/>
  <c r="N569" i="1"/>
  <c r="L569" i="1" s="1"/>
  <c r="N462" i="1"/>
  <c r="N450" i="1"/>
  <c r="L450" i="1" s="1"/>
  <c r="N447" i="1"/>
  <c r="L447" i="1" s="1"/>
  <c r="N434" i="1"/>
  <c r="L434" i="1" s="1"/>
  <c r="N407" i="1"/>
  <c r="L407" i="1" s="1"/>
  <c r="N397" i="1"/>
  <c r="L397" i="1" s="1"/>
  <c r="N394" i="1"/>
  <c r="L394" i="1" s="1"/>
  <c r="N393" i="1"/>
  <c r="L393" i="1" s="1"/>
  <c r="N392" i="1"/>
  <c r="L392" i="1" s="1"/>
  <c r="N391" i="1"/>
  <c r="L391" i="1" s="1"/>
  <c r="N389" i="1"/>
  <c r="N261" i="1"/>
  <c r="L261" i="1" s="1"/>
  <c r="N245" i="1"/>
  <c r="L245" i="1" s="1"/>
  <c r="N243" i="1"/>
  <c r="L243" i="1" s="1"/>
  <c r="N225" i="1"/>
  <c r="L225" i="1" s="1"/>
  <c r="N147" i="1"/>
  <c r="L147" i="1" s="1"/>
  <c r="N129" i="1"/>
  <c r="L129" i="1" s="1"/>
  <c r="N126" i="1"/>
  <c r="L126" i="1" s="1"/>
  <c r="N122" i="1"/>
  <c r="L122" i="1" s="1"/>
  <c r="N106" i="1"/>
  <c r="L106" i="1" s="1"/>
  <c r="N105" i="1"/>
  <c r="L105" i="1" s="1"/>
  <c r="N379" i="1" l="1"/>
  <c r="L462" i="1"/>
  <c r="L389" i="1"/>
  <c r="S389" i="1"/>
  <c r="N492" i="1"/>
  <c r="L492" i="1"/>
  <c r="L799" i="1"/>
  <c r="L65" i="1"/>
  <c r="N563" i="1"/>
  <c r="L563" i="1"/>
  <c r="L802" i="1"/>
  <c r="L379" i="1" l="1"/>
  <c r="R563" i="1"/>
  <c r="R492" i="1"/>
  <c r="U379" i="1"/>
  <c r="W379" i="1"/>
  <c r="X379" i="1"/>
  <c r="Y379" i="1"/>
  <c r="AB379" i="1"/>
  <c r="AD379" i="1"/>
  <c r="AE379" i="1"/>
  <c r="AF379" i="1"/>
  <c r="AG379" i="1"/>
  <c r="AH379" i="1"/>
  <c r="S543" i="1" l="1"/>
  <c r="S549" i="1"/>
  <c r="S550" i="1"/>
  <c r="S551" i="1"/>
  <c r="S552" i="1"/>
  <c r="S553" i="1"/>
  <c r="S554" i="1"/>
  <c r="S555" i="1"/>
  <c r="S556" i="1"/>
  <c r="S557" i="1"/>
  <c r="S558" i="1"/>
  <c r="S559" i="1"/>
  <c r="S560" i="1"/>
  <c r="S561" i="1"/>
  <c r="S562" i="1"/>
  <c r="S468" i="1" l="1"/>
  <c r="S469" i="1"/>
  <c r="S470" i="1"/>
  <c r="S471" i="1"/>
  <c r="S472" i="1"/>
  <c r="S473" i="1"/>
  <c r="S474" i="1"/>
  <c r="S475" i="1"/>
  <c r="S476" i="1"/>
  <c r="S477" i="1"/>
  <c r="S478" i="1"/>
  <c r="S479" i="1"/>
  <c r="S480" i="1"/>
  <c r="S481" i="1"/>
  <c r="S482" i="1"/>
  <c r="S483" i="1"/>
  <c r="S484" i="1"/>
  <c r="S485" i="1"/>
  <c r="S486" i="1"/>
  <c r="S466" i="1"/>
  <c r="S513" i="1" l="1"/>
  <c r="S495" i="1"/>
  <c r="S497" i="1"/>
  <c r="S500" i="1"/>
  <c r="S501" i="1"/>
  <c r="S502" i="1"/>
  <c r="S503" i="1"/>
  <c r="S504" i="1"/>
  <c r="S505" i="1"/>
  <c r="S506" i="1"/>
  <c r="S507" i="1"/>
  <c r="S508" i="1"/>
  <c r="S509" i="1"/>
  <c r="S510" i="1"/>
  <c r="S512" i="1"/>
  <c r="S514" i="1"/>
  <c r="S515" i="1"/>
  <c r="S516" i="1"/>
  <c r="S517" i="1"/>
  <c r="S518" i="1"/>
  <c r="S519" i="1"/>
  <c r="S520" i="1"/>
  <c r="S521" i="1"/>
  <c r="S522" i="1"/>
  <c r="S526" i="1"/>
  <c r="S527" i="1"/>
  <c r="S528" i="1"/>
  <c r="S529" i="1"/>
  <c r="S531" i="1"/>
  <c r="S533" i="1"/>
  <c r="S534" i="1"/>
  <c r="S535" i="1"/>
  <c r="S536" i="1"/>
  <c r="S537" i="1"/>
  <c r="S538" i="1"/>
  <c r="S539" i="1"/>
  <c r="S540" i="1"/>
  <c r="S541" i="1"/>
  <c r="S542" i="1"/>
  <c r="S544" i="1"/>
  <c r="S545" i="1"/>
  <c r="S546" i="1"/>
  <c r="S547" i="1"/>
  <c r="S548" i="1"/>
  <c r="S494" i="1"/>
  <c r="N754" i="1"/>
  <c r="S734" i="1"/>
  <c r="S735" i="1"/>
  <c r="S749" i="1"/>
  <c r="N750" i="1"/>
  <c r="L750" i="1" s="1"/>
  <c r="S624" i="1"/>
  <c r="S625" i="1"/>
  <c r="S626" i="1"/>
  <c r="S627" i="1"/>
  <c r="S577" i="1"/>
  <c r="S568" i="1"/>
  <c r="S571" i="1"/>
  <c r="S572" i="1"/>
  <c r="S573" i="1"/>
  <c r="S566" i="1"/>
  <c r="S567" i="1"/>
  <c r="S574" i="1"/>
  <c r="S575" i="1"/>
  <c r="S576" i="1"/>
  <c r="S578" i="1"/>
  <c r="S579" i="1"/>
  <c r="S580" i="1"/>
  <c r="S581" i="1"/>
  <c r="S582" i="1"/>
  <c r="S583" i="1"/>
  <c r="S584" i="1"/>
  <c r="S585" i="1"/>
  <c r="S586" i="1"/>
  <c r="S565" i="1"/>
  <c r="L754" i="1" l="1"/>
  <c r="S750" i="1"/>
  <c r="L751" i="1" l="1"/>
  <c r="S221" i="1"/>
  <c r="S138" i="1"/>
  <c r="S139" i="1"/>
  <c r="S140" i="1"/>
  <c r="S141" i="1"/>
  <c r="S142" i="1"/>
  <c r="S143" i="1"/>
  <c r="S144" i="1"/>
  <c r="S145" i="1"/>
  <c r="S146" i="1"/>
  <c r="S261" i="1"/>
  <c r="S245" i="1"/>
  <c r="S243" i="1"/>
  <c r="S225" i="1"/>
  <c r="S147" i="1"/>
  <c r="S129" i="1"/>
  <c r="S126"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4" i="1"/>
  <c r="S107" i="1"/>
  <c r="S108" i="1"/>
  <c r="S109" i="1"/>
  <c r="S110" i="1"/>
  <c r="S111" i="1"/>
  <c r="S112" i="1"/>
  <c r="S113" i="1"/>
  <c r="S114" i="1"/>
  <c r="S115" i="1"/>
  <c r="S116" i="1"/>
  <c r="S117" i="1"/>
  <c r="S118" i="1"/>
  <c r="S119" i="1"/>
  <c r="S120" i="1"/>
  <c r="S121" i="1"/>
  <c r="S123" i="1"/>
  <c r="S124" i="1"/>
  <c r="S125" i="1"/>
  <c r="S127" i="1"/>
  <c r="S128" i="1"/>
  <c r="S130" i="1"/>
  <c r="S131" i="1"/>
  <c r="S132" i="1"/>
  <c r="S133" i="1"/>
  <c r="S134" i="1"/>
  <c r="S135" i="1"/>
  <c r="S136" i="1"/>
  <c r="S13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2" i="1"/>
  <c r="S223" i="1"/>
  <c r="S224" i="1"/>
  <c r="S226" i="1"/>
  <c r="S227" i="1"/>
  <c r="S228" i="1"/>
  <c r="S229" i="1"/>
  <c r="S230" i="1"/>
  <c r="S231" i="1"/>
  <c r="S232" i="1"/>
  <c r="S233" i="1"/>
  <c r="S234" i="1"/>
  <c r="S235" i="1"/>
  <c r="S236" i="1"/>
  <c r="S237" i="1"/>
  <c r="S238" i="1"/>
  <c r="S239" i="1"/>
  <c r="S240" i="1"/>
  <c r="S241" i="1"/>
  <c r="S242" i="1"/>
  <c r="S244" i="1"/>
  <c r="S246" i="1"/>
  <c r="S247" i="1"/>
  <c r="S248" i="1"/>
  <c r="S249" i="1"/>
  <c r="S250" i="1"/>
  <c r="S251" i="1"/>
  <c r="S252" i="1"/>
  <c r="S253" i="1"/>
  <c r="S254" i="1"/>
  <c r="S255" i="1"/>
  <c r="S256" i="1"/>
  <c r="S257" i="1"/>
  <c r="S258" i="1"/>
  <c r="S259" i="1"/>
  <c r="S260"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8" i="1"/>
  <c r="S67" i="1"/>
  <c r="S122" i="1"/>
  <c r="S462" i="1"/>
  <c r="S394" i="1"/>
  <c r="S391" i="1"/>
  <c r="S393" i="1"/>
  <c r="S392" i="1"/>
  <c r="S397" i="1"/>
  <c r="S382" i="1"/>
  <c r="S383" i="1"/>
  <c r="S384" i="1"/>
  <c r="S385" i="1"/>
  <c r="S386" i="1"/>
  <c r="S387" i="1"/>
  <c r="S388" i="1"/>
  <c r="S390" i="1"/>
  <c r="S398" i="1"/>
  <c r="S399" i="1"/>
  <c r="S400" i="1"/>
  <c r="S401" i="1"/>
  <c r="S402" i="1"/>
  <c r="S403" i="1"/>
  <c r="S404" i="1"/>
  <c r="S405" i="1"/>
  <c r="S406" i="1"/>
  <c r="S408" i="1"/>
  <c r="S409" i="1"/>
  <c r="S410" i="1"/>
  <c r="S411" i="1"/>
  <c r="S412" i="1"/>
  <c r="S413" i="1"/>
  <c r="S414" i="1"/>
  <c r="S415" i="1"/>
  <c r="S416" i="1"/>
  <c r="S418" i="1"/>
  <c r="S419" i="1"/>
  <c r="S420" i="1"/>
  <c r="S421" i="1"/>
  <c r="S422" i="1"/>
  <c r="S423" i="1"/>
  <c r="S424" i="1"/>
  <c r="S425" i="1"/>
  <c r="S426" i="1"/>
  <c r="S427" i="1"/>
  <c r="S428" i="1"/>
  <c r="S429" i="1"/>
  <c r="S430" i="1"/>
  <c r="S431" i="1"/>
  <c r="S432" i="1"/>
  <c r="S433" i="1"/>
  <c r="S435" i="1"/>
  <c r="S436" i="1"/>
  <c r="S437" i="1"/>
  <c r="S438" i="1"/>
  <c r="S439" i="1"/>
  <c r="S440" i="1"/>
  <c r="S441" i="1"/>
  <c r="S442" i="1"/>
  <c r="S443" i="1"/>
  <c r="S444" i="1"/>
  <c r="S445" i="1"/>
  <c r="S446" i="1"/>
  <c r="S448" i="1"/>
  <c r="S449" i="1"/>
  <c r="S451" i="1"/>
  <c r="S452" i="1"/>
  <c r="S453" i="1"/>
  <c r="S454" i="1"/>
  <c r="S455" i="1"/>
  <c r="S456" i="1"/>
  <c r="S457" i="1"/>
  <c r="S458" i="1"/>
  <c r="S460" i="1"/>
  <c r="S381" i="1"/>
  <c r="R751" i="1" l="1"/>
  <c r="S450" i="1"/>
  <c r="S447" i="1"/>
  <c r="S434" i="1"/>
  <c r="S407" i="1"/>
  <c r="U1152" i="1"/>
  <c r="U1131" i="1"/>
  <c r="U1125" i="1"/>
  <c r="U1119" i="1"/>
  <c r="U1115" i="1"/>
  <c r="U1110" i="1"/>
  <c r="U1102" i="1"/>
  <c r="U1096" i="1"/>
  <c r="U1088" i="1"/>
  <c r="U1084" i="1"/>
  <c r="U1081" i="1"/>
  <c r="U1077" i="1"/>
  <c r="U1069" i="1"/>
  <c r="U1066" i="1"/>
  <c r="U1056" i="1"/>
  <c r="U1003" i="1"/>
  <c r="U991" i="1"/>
  <c r="U894" i="1"/>
  <c r="U883" i="1" s="1"/>
  <c r="U867" i="1"/>
  <c r="U861" i="1"/>
  <c r="U860" i="1"/>
  <c r="U859" i="1"/>
  <c r="U858" i="1"/>
  <c r="U855" i="1"/>
  <c r="U846" i="1" s="1"/>
  <c r="U845" i="1"/>
  <c r="U843" i="1"/>
  <c r="U833" i="1"/>
  <c r="U820" i="1" s="1"/>
  <c r="U817" i="1"/>
  <c r="U814" i="1"/>
  <c r="U805" i="1"/>
  <c r="U804" i="1"/>
  <c r="U802" i="1" s="1"/>
  <c r="U799" i="1"/>
  <c r="U796" i="1"/>
  <c r="U795" i="1"/>
  <c r="U792" i="1" s="1"/>
  <c r="U789" i="1"/>
  <c r="U785" i="1"/>
  <c r="U783" i="1"/>
  <c r="U777" i="1"/>
  <c r="U772" i="1"/>
  <c r="U766" i="1"/>
  <c r="U763" i="1" s="1"/>
  <c r="U762" i="1"/>
  <c r="U761" i="1"/>
  <c r="U754" i="1"/>
  <c r="U748" i="1"/>
  <c r="U747" i="1"/>
  <c r="U736" i="1"/>
  <c r="U730" i="1"/>
  <c r="S730" i="1" s="1"/>
  <c r="U724" i="1"/>
  <c r="U717" i="1"/>
  <c r="U714" i="1"/>
  <c r="U654" i="1"/>
  <c r="U653" i="1"/>
  <c r="U648" i="1" s="1"/>
  <c r="U647" i="1"/>
  <c r="S647" i="1" s="1"/>
  <c r="U645" i="1"/>
  <c r="U642" i="1"/>
  <c r="S642" i="1" s="1"/>
  <c r="U639" i="1"/>
  <c r="S639" i="1" s="1"/>
  <c r="U636" i="1"/>
  <c r="U618" i="1"/>
  <c r="U617" i="1"/>
  <c r="U610" i="1"/>
  <c r="U605" i="1"/>
  <c r="U588" i="1"/>
  <c r="U570" i="1"/>
  <c r="S570" i="1" s="1"/>
  <c r="U569" i="1"/>
  <c r="S569" i="1" s="1"/>
  <c r="U532" i="1"/>
  <c r="S532" i="1" s="1"/>
  <c r="U530" i="1"/>
  <c r="U525" i="1"/>
  <c r="U524" i="1"/>
  <c r="U523" i="1"/>
  <c r="U511" i="1"/>
  <c r="U499" i="1"/>
  <c r="U498" i="1"/>
  <c r="U496" i="1"/>
  <c r="U487" i="1"/>
  <c r="U467" i="1"/>
  <c r="U464" i="1" s="1"/>
  <c r="U106" i="1"/>
  <c r="U105" i="1"/>
  <c r="U60" i="1"/>
  <c r="U42" i="1" s="1"/>
  <c r="U38" i="1"/>
  <c r="U35" i="1"/>
  <c r="U33" i="1"/>
  <c r="U30" i="1" s="1"/>
  <c r="S16" i="1"/>
  <c r="U8" i="1"/>
  <c r="U6" i="1" s="1"/>
  <c r="U3" i="1"/>
  <c r="U672" i="1" l="1"/>
  <c r="S379" i="1"/>
  <c r="R379" i="1"/>
  <c r="U835" i="1"/>
  <c r="U13" i="1"/>
  <c r="U751" i="1"/>
  <c r="S754" i="1"/>
  <c r="U767" i="1"/>
  <c r="S563" i="1"/>
  <c r="U563" i="1"/>
  <c r="U65" i="1"/>
  <c r="U773" i="1"/>
  <c r="U856" i="1"/>
  <c r="U492" i="1"/>
  <c r="U595" i="1"/>
  <c r="U759" i="1"/>
  <c r="U722" i="1"/>
  <c r="U733" i="1"/>
  <c r="U990" i="1"/>
  <c r="AC379" i="1" l="1"/>
  <c r="U380" i="1"/>
  <c r="U1155" i="1"/>
  <c r="S3" i="1" l="1"/>
  <c r="S6" i="1"/>
  <c r="S33" i="1"/>
  <c r="S30" i="1" s="1"/>
  <c r="L648" i="1" l="1"/>
  <c r="AF647" i="1"/>
  <c r="N467" i="1"/>
  <c r="N867" i="1"/>
  <c r="R867" i="1" s="1"/>
  <c r="R648" i="1" l="1"/>
  <c r="L467" i="1"/>
  <c r="L464" i="1" s="1"/>
  <c r="S467" i="1"/>
  <c r="S464" i="1" s="1"/>
  <c r="N464" i="1"/>
  <c r="AF645" i="1"/>
  <c r="R464" i="1" l="1"/>
  <c r="S645" i="1"/>
  <c r="N747" i="1" l="1"/>
  <c r="S106" i="1"/>
  <c r="S105" i="1"/>
  <c r="S511" i="1"/>
  <c r="AC378" i="1"/>
  <c r="L747" i="1" l="1"/>
  <c r="S747" i="1"/>
  <c r="S65" i="1"/>
  <c r="S499" i="1"/>
  <c r="S498" i="1"/>
  <c r="S524" i="1"/>
  <c r="N860" i="1" l="1"/>
  <c r="L860" i="1" s="1"/>
  <c r="N858" i="1"/>
  <c r="L858" i="1" s="1"/>
  <c r="Y990" i="1" l="1"/>
  <c r="Y218" i="1"/>
  <c r="Y219" i="1"/>
  <c r="Y220" i="1"/>
  <c r="Y221" i="1"/>
  <c r="Y222" i="1"/>
  <c r="Y223" i="1"/>
  <c r="Y224" i="1"/>
  <c r="Y225" i="1"/>
  <c r="Y226" i="1"/>
  <c r="Y227" i="1"/>
  <c r="Y228" i="1"/>
  <c r="Y229" i="1"/>
  <c r="Y106" i="1"/>
  <c r="Y230" i="1"/>
  <c r="Y231" i="1"/>
  <c r="Y232" i="1"/>
  <c r="Y233" i="1"/>
  <c r="Y234" i="1"/>
  <c r="Y235" i="1"/>
  <c r="Y236" i="1"/>
  <c r="Y237" i="1"/>
  <c r="Y238" i="1"/>
  <c r="Y239" i="1"/>
  <c r="Y240" i="1"/>
  <c r="Y241" i="1"/>
  <c r="Y242" i="1"/>
  <c r="Y243" i="1"/>
  <c r="Y244" i="1"/>
  <c r="Y245" i="1"/>
  <c r="Y246" i="1"/>
  <c r="Y247" i="1"/>
  <c r="Y248" i="1"/>
  <c r="Y249" i="1"/>
  <c r="Y250" i="1"/>
  <c r="Y251" i="1"/>
  <c r="Y252" i="1"/>
  <c r="Y253" i="1"/>
  <c r="Y254" i="1"/>
  <c r="Y255" i="1"/>
  <c r="Y256" i="1"/>
  <c r="Y257" i="1"/>
  <c r="Y258" i="1"/>
  <c r="Y259" i="1"/>
  <c r="Y260" i="1"/>
  <c r="Y261" i="1"/>
  <c r="Y262" i="1"/>
  <c r="Y263" i="1"/>
  <c r="Y264" i="1"/>
  <c r="Y265" i="1"/>
  <c r="Y266" i="1"/>
  <c r="Y267" i="1"/>
  <c r="Y268" i="1"/>
  <c r="Y269" i="1"/>
  <c r="Y270" i="1"/>
  <c r="Y271" i="1"/>
  <c r="Y272" i="1"/>
  <c r="Y273" i="1"/>
  <c r="Y274" i="1"/>
  <c r="Y275" i="1"/>
  <c r="Y276" i="1"/>
  <c r="Y277" i="1"/>
  <c r="Y278" i="1"/>
  <c r="Y279" i="1"/>
  <c r="Y280" i="1"/>
  <c r="Y281" i="1"/>
  <c r="Y282" i="1"/>
  <c r="Y283" i="1"/>
  <c r="Y284" i="1"/>
  <c r="Y285" i="1"/>
  <c r="Y286" i="1"/>
  <c r="Y287" i="1"/>
  <c r="Y288" i="1"/>
  <c r="Y289" i="1"/>
  <c r="Y290" i="1"/>
  <c r="Y291" i="1"/>
  <c r="Y292" i="1"/>
  <c r="Y293" i="1"/>
  <c r="Y294" i="1"/>
  <c r="Y295" i="1"/>
  <c r="Y296" i="1"/>
  <c r="Y297" i="1"/>
  <c r="Y298" i="1"/>
  <c r="Y299" i="1"/>
  <c r="Y300" i="1"/>
  <c r="Y301" i="1"/>
  <c r="Y302" i="1"/>
  <c r="Y303" i="1"/>
  <c r="Y304" i="1"/>
  <c r="Y305" i="1"/>
  <c r="Y306" i="1"/>
  <c r="Y307" i="1"/>
  <c r="Y308" i="1"/>
  <c r="Y309" i="1"/>
  <c r="Y310" i="1"/>
  <c r="Y311" i="1"/>
  <c r="Y312" i="1"/>
  <c r="Y313" i="1"/>
  <c r="Y314" i="1"/>
  <c r="Y315" i="1"/>
  <c r="Y316" i="1"/>
  <c r="Y317" i="1"/>
  <c r="Y318" i="1"/>
  <c r="Y319" i="1"/>
  <c r="Y320" i="1"/>
  <c r="Y321" i="1"/>
  <c r="Y322" i="1"/>
  <c r="Y323" i="1"/>
  <c r="Y324" i="1"/>
  <c r="Y325" i="1"/>
  <c r="Y326" i="1"/>
  <c r="Y327" i="1"/>
  <c r="Y328" i="1"/>
  <c r="Y329" i="1"/>
  <c r="Y330" i="1"/>
  <c r="Y331" i="1"/>
  <c r="Y332" i="1"/>
  <c r="Y333" i="1"/>
  <c r="Y334" i="1"/>
  <c r="Y335" i="1"/>
  <c r="Y336" i="1"/>
  <c r="Y337" i="1"/>
  <c r="Y338" i="1"/>
  <c r="Y339" i="1"/>
  <c r="Y340" i="1"/>
  <c r="Y341" i="1"/>
  <c r="Y342" i="1"/>
  <c r="Y343" i="1"/>
  <c r="Y344" i="1"/>
  <c r="Y345" i="1"/>
  <c r="Y346" i="1"/>
  <c r="Y347" i="1"/>
  <c r="Y348" i="1"/>
  <c r="Y349" i="1"/>
  <c r="Y350" i="1"/>
  <c r="Y351" i="1"/>
  <c r="Y352" i="1"/>
  <c r="Y353" i="1"/>
  <c r="Y354" i="1"/>
  <c r="Y355" i="1"/>
  <c r="Y356" i="1"/>
  <c r="Y357" i="1"/>
  <c r="Y358" i="1"/>
  <c r="Y359" i="1"/>
  <c r="Y360" i="1"/>
  <c r="Y361" i="1"/>
  <c r="Y362" i="1"/>
  <c r="Y363" i="1"/>
  <c r="Y364" i="1"/>
  <c r="Y365" i="1"/>
  <c r="Y366" i="1"/>
  <c r="Y367" i="1"/>
  <c r="Y368" i="1"/>
  <c r="Y369" i="1"/>
  <c r="Y370" i="1"/>
  <c r="Y371" i="1"/>
  <c r="Y208" i="1"/>
  <c r="Y193" i="1"/>
  <c r="Y194" i="1"/>
  <c r="Y195" i="1"/>
  <c r="Y196" i="1"/>
  <c r="Y197" i="1"/>
  <c r="Y198" i="1"/>
  <c r="Y199" i="1"/>
  <c r="Y200" i="1"/>
  <c r="Y201" i="1"/>
  <c r="Y202" i="1"/>
  <c r="Y203" i="1"/>
  <c r="Y204" i="1"/>
  <c r="Y205" i="1"/>
  <c r="Y206" i="1"/>
  <c r="Y207" i="1"/>
  <c r="Y209" i="1"/>
  <c r="Y210" i="1"/>
  <c r="Y211" i="1"/>
  <c r="Y212" i="1"/>
  <c r="Y213" i="1"/>
  <c r="Y214" i="1"/>
  <c r="Y215" i="1"/>
  <c r="Y216" i="1"/>
  <c r="Y217" i="1"/>
  <c r="Y192" i="1"/>
  <c r="Y180" i="1"/>
  <c r="Y181" i="1"/>
  <c r="Y182" i="1"/>
  <c r="Y183" i="1"/>
  <c r="Y184" i="1"/>
  <c r="Y185" i="1"/>
  <c r="Y186" i="1"/>
  <c r="Y187" i="1"/>
  <c r="Y188" i="1"/>
  <c r="Y189" i="1"/>
  <c r="Y190" i="1"/>
  <c r="Y191" i="1"/>
  <c r="Y179" i="1"/>
  <c r="Y178" i="1"/>
  <c r="Y166" i="1"/>
  <c r="Y167" i="1"/>
  <c r="Y168" i="1"/>
  <c r="Y169" i="1"/>
  <c r="Y170" i="1"/>
  <c r="Y171" i="1"/>
  <c r="Y172" i="1"/>
  <c r="Y173" i="1"/>
  <c r="Y174" i="1"/>
  <c r="Y175" i="1"/>
  <c r="Y176" i="1"/>
  <c r="Y177" i="1"/>
  <c r="Y165" i="1"/>
  <c r="Y162" i="1"/>
  <c r="Y163" i="1"/>
  <c r="Y164" i="1"/>
  <c r="Y155" i="1"/>
  <c r="Y156" i="1"/>
  <c r="Y157" i="1"/>
  <c r="Y158" i="1"/>
  <c r="Y159" i="1"/>
  <c r="Y160" i="1"/>
  <c r="Y161" i="1"/>
  <c r="Y137" i="1"/>
  <c r="Y147" i="1"/>
  <c r="Y148" i="1"/>
  <c r="Y105" i="1"/>
  <c r="Y149" i="1"/>
  <c r="Y150" i="1"/>
  <c r="Y151" i="1"/>
  <c r="Y152" i="1"/>
  <c r="Y153" i="1"/>
  <c r="Y154" i="1"/>
  <c r="Y132" i="1"/>
  <c r="Y133" i="1"/>
  <c r="Y134" i="1"/>
  <c r="Y135" i="1"/>
  <c r="Y136" i="1"/>
  <c r="Y125" i="1" l="1"/>
  <c r="Y126" i="1"/>
  <c r="Y127" i="1"/>
  <c r="Y128" i="1"/>
  <c r="Y129" i="1"/>
  <c r="Y130" i="1"/>
  <c r="Y131" i="1"/>
  <c r="Y112" i="1"/>
  <c r="Y113" i="1"/>
  <c r="Y114" i="1"/>
  <c r="Y115" i="1"/>
  <c r="Y116" i="1"/>
  <c r="Y117" i="1"/>
  <c r="Y118" i="1"/>
  <c r="Y119" i="1"/>
  <c r="Y120" i="1"/>
  <c r="Y121" i="1"/>
  <c r="Y122" i="1"/>
  <c r="Y123" i="1"/>
  <c r="Y124" i="1"/>
  <c r="Y110" i="1"/>
  <c r="Y111" i="1"/>
  <c r="Y109" i="1"/>
  <c r="Y108" i="1"/>
  <c r="L763" i="1" l="1"/>
  <c r="V751" i="1"/>
  <c r="W751" i="1"/>
  <c r="X751" i="1"/>
  <c r="Y751" i="1"/>
  <c r="R763" i="1" l="1"/>
  <c r="AA795" i="1"/>
  <c r="N1125" i="1" l="1"/>
  <c r="R1125" i="1" s="1"/>
  <c r="N1119" i="1"/>
  <c r="R1119" i="1" s="1"/>
  <c r="N1115" i="1"/>
  <c r="R1115" i="1" s="1"/>
  <c r="N1110" i="1"/>
  <c r="R1110" i="1" s="1"/>
  <c r="N1102" i="1"/>
  <c r="R1102" i="1" s="1"/>
  <c r="N1096" i="1"/>
  <c r="R1096" i="1" s="1"/>
  <c r="N1088" i="1"/>
  <c r="R1088" i="1" s="1"/>
  <c r="N1084" i="1"/>
  <c r="R1084" i="1" s="1"/>
  <c r="N1081" i="1"/>
  <c r="R1081" i="1" s="1"/>
  <c r="N1077" i="1"/>
  <c r="R1077" i="1" s="1"/>
  <c r="N1069" i="1"/>
  <c r="R1069" i="1" s="1"/>
  <c r="AJ1068" i="1"/>
  <c r="N1066" i="1"/>
  <c r="N1056" i="1"/>
  <c r="R1056" i="1" s="1"/>
  <c r="N1003" i="1"/>
  <c r="R1003" i="1" s="1"/>
  <c r="N991" i="1"/>
  <c r="R991" i="1" s="1"/>
  <c r="N894" i="1"/>
  <c r="L894" i="1" s="1"/>
  <c r="N861" i="1"/>
  <c r="L861" i="1" s="1"/>
  <c r="N859" i="1"/>
  <c r="L859" i="1" s="1"/>
  <c r="N855" i="1"/>
  <c r="L855" i="1" s="1"/>
  <c r="AJ851" i="1"/>
  <c r="L851" i="1" s="1"/>
  <c r="N845" i="1"/>
  <c r="L845" i="1" s="1"/>
  <c r="N843" i="1"/>
  <c r="L843" i="1" s="1"/>
  <c r="N833" i="1"/>
  <c r="L833" i="1" s="1"/>
  <c r="N817" i="1"/>
  <c r="R817" i="1" s="1"/>
  <c r="N805" i="1"/>
  <c r="R805" i="1" s="1"/>
  <c r="N802" i="1"/>
  <c r="R802" i="1" s="1"/>
  <c r="N799" i="1"/>
  <c r="R799" i="1" s="1"/>
  <c r="N748" i="1"/>
  <c r="N733" i="1" s="1"/>
  <c r="N636" i="1"/>
  <c r="N588" i="1"/>
  <c r="R588" i="1" s="1"/>
  <c r="S530" i="1"/>
  <c r="S525" i="1"/>
  <c r="S523" i="1"/>
  <c r="S496" i="1"/>
  <c r="L636" i="1" l="1"/>
  <c r="L595" i="1" s="1"/>
  <c r="N595" i="1"/>
  <c r="L748" i="1"/>
  <c r="L1068" i="1"/>
  <c r="L1066" i="1" s="1"/>
  <c r="L835" i="1"/>
  <c r="L856" i="1"/>
  <c r="L773" i="1"/>
  <c r="L759" i="1"/>
  <c r="L792" i="1"/>
  <c r="N883" i="1"/>
  <c r="L883" i="1"/>
  <c r="N820" i="1"/>
  <c r="L820" i="1"/>
  <c r="N846" i="1"/>
  <c r="L846" i="1"/>
  <c r="S748" i="1"/>
  <c r="S636" i="1"/>
  <c r="S736" i="1"/>
  <c r="S492" i="1"/>
  <c r="N65" i="1"/>
  <c r="N856" i="1"/>
  <c r="N835" i="1"/>
  <c r="N990" i="1"/>
  <c r="L733" i="1" l="1"/>
  <c r="R767" i="1"/>
  <c r="R792" i="1"/>
  <c r="R759" i="1"/>
  <c r="R773" i="1"/>
  <c r="R65" i="1"/>
  <c r="R846" i="1"/>
  <c r="R883" i="1"/>
  <c r="R820" i="1"/>
  <c r="R856" i="1"/>
  <c r="R595" i="1"/>
  <c r="R835" i="1"/>
  <c r="L990" i="1"/>
  <c r="R1066" i="1"/>
  <c r="N1155" i="1"/>
  <c r="R733" i="1" l="1"/>
  <c r="R990" i="1"/>
  <c r="L1155" i="1"/>
  <c r="L1163" i="1" s="1"/>
  <c r="AA748" i="1" l="1"/>
  <c r="AA645" i="1" l="1"/>
  <c r="AF639" i="1"/>
  <c r="AA639" i="1"/>
  <c r="AG642" i="1"/>
  <c r="AG730" i="1"/>
  <c r="AG639" i="1"/>
  <c r="AG645" i="1"/>
  <c r="AG754" i="1" l="1"/>
  <c r="Y845" i="1"/>
  <c r="AA754" i="1" l="1"/>
  <c r="AB16" i="1" l="1"/>
  <c r="AH754" i="1" l="1"/>
  <c r="AG724" i="1"/>
  <c r="AD724" i="1"/>
  <c r="AB754" i="1" l="1"/>
  <c r="AB724" i="1"/>
  <c r="V611" i="1" l="1"/>
  <c r="Y610" i="1"/>
  <c r="Y880" i="1" l="1"/>
  <c r="AC131" i="1" l="1"/>
  <c r="AC132" i="1"/>
  <c r="AC133" i="1"/>
  <c r="AC134" i="1"/>
  <c r="AC135" i="1"/>
  <c r="AC136" i="1"/>
  <c r="AC137" i="1"/>
  <c r="AC149" i="1"/>
  <c r="AC152" i="1"/>
  <c r="AC153" i="1"/>
  <c r="AC154" i="1"/>
  <c r="AC159" i="1"/>
  <c r="AC160" i="1"/>
  <c r="AC162" i="1"/>
  <c r="AC163" i="1"/>
  <c r="AC168" i="1"/>
  <c r="AC169" i="1"/>
  <c r="AC170" i="1"/>
  <c r="AC174" i="1"/>
  <c r="AC175" i="1"/>
  <c r="AC186" i="1"/>
  <c r="AC187" i="1"/>
  <c r="AC188" i="1"/>
  <c r="AC189" i="1"/>
  <c r="AC190" i="1"/>
  <c r="AC191" i="1"/>
  <c r="AC192" i="1"/>
  <c r="AC193" i="1"/>
  <c r="AC194" i="1"/>
  <c r="AC218" i="1"/>
  <c r="AC230" i="1"/>
  <c r="AC281" i="1"/>
  <c r="AC295" i="1"/>
  <c r="AC296" i="1"/>
  <c r="AC297" i="1"/>
  <c r="AC298" i="1"/>
  <c r="AC74" i="1"/>
  <c r="AC75" i="1"/>
  <c r="AC76" i="1"/>
  <c r="AC77" i="1"/>
  <c r="AC78" i="1"/>
  <c r="AC79" i="1"/>
  <c r="AC80" i="1"/>
  <c r="AC81" i="1"/>
  <c r="AC82" i="1"/>
  <c r="AC83" i="1"/>
  <c r="AC84" i="1"/>
  <c r="AC85" i="1"/>
  <c r="AC86" i="1"/>
  <c r="AC87" i="1"/>
  <c r="AC88" i="1"/>
  <c r="AC89" i="1"/>
  <c r="AC90" i="1"/>
  <c r="AC91" i="1"/>
  <c r="AC92" i="1"/>
  <c r="AC93" i="1"/>
  <c r="AC94" i="1"/>
  <c r="AC95" i="1"/>
  <c r="AC96" i="1"/>
  <c r="AC97" i="1"/>
  <c r="AC98" i="1"/>
  <c r="AC99" i="1"/>
  <c r="AC100" i="1"/>
  <c r="AC110" i="1"/>
  <c r="AC111" i="1"/>
  <c r="AC121" i="1"/>
  <c r="AC66" i="1"/>
  <c r="AC67" i="1"/>
  <c r="AC68" i="1"/>
  <c r="AC69" i="1"/>
  <c r="AC70" i="1"/>
  <c r="AC71" i="1"/>
  <c r="AC72" i="1"/>
  <c r="AC73" i="1"/>
  <c r="AB239" i="1"/>
  <c r="AC239" i="1" s="1"/>
  <c r="AB238" i="1"/>
  <c r="AC238" i="1" s="1"/>
  <c r="AB216" i="1"/>
  <c r="AC216" i="1" s="1"/>
  <c r="AB215" i="1"/>
  <c r="AC215" i="1" s="1"/>
  <c r="AC361" i="1"/>
  <c r="AC362" i="1"/>
  <c r="AC363" i="1"/>
  <c r="AC364" i="1"/>
  <c r="AC365" i="1"/>
  <c r="AC366" i="1"/>
  <c r="AC367" i="1"/>
  <c r="AC368" i="1"/>
  <c r="AC369" i="1"/>
  <c r="AC370" i="1"/>
  <c r="AC371" i="1"/>
  <c r="AC360" i="1"/>
  <c r="AC300" i="1"/>
  <c r="AC301" i="1"/>
  <c r="AC302" i="1"/>
  <c r="AC303" i="1"/>
  <c r="AC304" i="1"/>
  <c r="AC305" i="1"/>
  <c r="AC306" i="1"/>
  <c r="AC307" i="1"/>
  <c r="AC308" i="1"/>
  <c r="AC309" i="1"/>
  <c r="AC310" i="1"/>
  <c r="AC311" i="1"/>
  <c r="AC312" i="1"/>
  <c r="AC313" i="1"/>
  <c r="AC314" i="1"/>
  <c r="AC315" i="1"/>
  <c r="AC316" i="1"/>
  <c r="AC317" i="1"/>
  <c r="AC318" i="1"/>
  <c r="AC319" i="1"/>
  <c r="AC320" i="1"/>
  <c r="AC321" i="1"/>
  <c r="AC322" i="1"/>
  <c r="AC323" i="1"/>
  <c r="AC324" i="1"/>
  <c r="AC325" i="1"/>
  <c r="AC326" i="1"/>
  <c r="AC327" i="1"/>
  <c r="AC328" i="1"/>
  <c r="AC329" i="1"/>
  <c r="AC330" i="1"/>
  <c r="AC331" i="1"/>
  <c r="AC332" i="1"/>
  <c r="AC333" i="1"/>
  <c r="AC334" i="1"/>
  <c r="AC335" i="1"/>
  <c r="AC336" i="1"/>
  <c r="AC337" i="1"/>
  <c r="AC338" i="1"/>
  <c r="AC339" i="1"/>
  <c r="AC340" i="1"/>
  <c r="AC341" i="1"/>
  <c r="AC342" i="1"/>
  <c r="AC343" i="1"/>
  <c r="AC344" i="1"/>
  <c r="AC345" i="1"/>
  <c r="AC346" i="1"/>
  <c r="AC347" i="1"/>
  <c r="AC348" i="1"/>
  <c r="AC349" i="1"/>
  <c r="AC350" i="1"/>
  <c r="AC351" i="1"/>
  <c r="AC352" i="1"/>
  <c r="AC353" i="1"/>
  <c r="AC354" i="1"/>
  <c r="AC355" i="1"/>
  <c r="AC356" i="1"/>
  <c r="AC357" i="1"/>
  <c r="AC358" i="1"/>
  <c r="AC359" i="1"/>
  <c r="AC299" i="1"/>
  <c r="AC283" i="1"/>
  <c r="AC284" i="1"/>
  <c r="AC285" i="1"/>
  <c r="AC286" i="1"/>
  <c r="AC287" i="1"/>
  <c r="AC288" i="1"/>
  <c r="AC289" i="1"/>
  <c r="AC290" i="1"/>
  <c r="AC291" i="1"/>
  <c r="AC292" i="1"/>
  <c r="AC293" i="1"/>
  <c r="AC294" i="1"/>
  <c r="AC282" i="1"/>
  <c r="AC241" i="1"/>
  <c r="AC242" i="1"/>
  <c r="AC243" i="1"/>
  <c r="AC244" i="1"/>
  <c r="AC245" i="1"/>
  <c r="AC246" i="1"/>
  <c r="AC247" i="1"/>
  <c r="AC248" i="1"/>
  <c r="AC249" i="1"/>
  <c r="AC250" i="1"/>
  <c r="AC251" i="1"/>
  <c r="AC252" i="1"/>
  <c r="AC253" i="1"/>
  <c r="AC254" i="1"/>
  <c r="AC255" i="1"/>
  <c r="AC256" i="1"/>
  <c r="AC257" i="1"/>
  <c r="AC258" i="1"/>
  <c r="AC259" i="1"/>
  <c r="AC260" i="1"/>
  <c r="AC261" i="1"/>
  <c r="AC262" i="1"/>
  <c r="AC263" i="1"/>
  <c r="AC264" i="1"/>
  <c r="AC265" i="1"/>
  <c r="AC266" i="1"/>
  <c r="AC267" i="1"/>
  <c r="AC268" i="1"/>
  <c r="AC269" i="1"/>
  <c r="AC270" i="1"/>
  <c r="AC271" i="1"/>
  <c r="AC272" i="1"/>
  <c r="AC273" i="1"/>
  <c r="AC274" i="1"/>
  <c r="AC275" i="1"/>
  <c r="AC276" i="1"/>
  <c r="AC277" i="1"/>
  <c r="AC278" i="1"/>
  <c r="AC279" i="1"/>
  <c r="AC280" i="1"/>
  <c r="AC240" i="1"/>
  <c r="AC232" i="1"/>
  <c r="AC233" i="1"/>
  <c r="AC234" i="1"/>
  <c r="AC235" i="1"/>
  <c r="AC236" i="1"/>
  <c r="AC237" i="1"/>
  <c r="AC231" i="1"/>
  <c r="AC220" i="1"/>
  <c r="AC221" i="1"/>
  <c r="AC222" i="1"/>
  <c r="AC223" i="1"/>
  <c r="AC224" i="1"/>
  <c r="AC225" i="1"/>
  <c r="AC227" i="1"/>
  <c r="AC228" i="1"/>
  <c r="AC229" i="1"/>
  <c r="AC106" i="1"/>
  <c r="AC219" i="1"/>
  <c r="AC217" i="1"/>
  <c r="AC204" i="1"/>
  <c r="AC205" i="1"/>
  <c r="AC206" i="1"/>
  <c r="AC207" i="1"/>
  <c r="AC208" i="1"/>
  <c r="AC209" i="1"/>
  <c r="AC210" i="1"/>
  <c r="AC211" i="1"/>
  <c r="AC212" i="1"/>
  <c r="AC213" i="1"/>
  <c r="AC214" i="1"/>
  <c r="AC196" i="1"/>
  <c r="AC197" i="1"/>
  <c r="AC198" i="1"/>
  <c r="AC199" i="1"/>
  <c r="AC200" i="1"/>
  <c r="AC201" i="1"/>
  <c r="AC202" i="1"/>
  <c r="AC203" i="1"/>
  <c r="AC195" i="1"/>
  <c r="AC177" i="1"/>
  <c r="AC178" i="1"/>
  <c r="AC179" i="1"/>
  <c r="AC180" i="1"/>
  <c r="AC181" i="1"/>
  <c r="AC182" i="1"/>
  <c r="AC183" i="1"/>
  <c r="AC184" i="1"/>
  <c r="AC185" i="1"/>
  <c r="AC176" i="1"/>
  <c r="AC172" i="1"/>
  <c r="AC173" i="1"/>
  <c r="AC171" i="1"/>
  <c r="AC226" i="1" l="1"/>
  <c r="AC165" i="1" l="1"/>
  <c r="AC166" i="1"/>
  <c r="AC167" i="1"/>
  <c r="AC164" i="1"/>
  <c r="AC161" i="1"/>
  <c r="AC156" i="1"/>
  <c r="AC157" i="1"/>
  <c r="AC158" i="1"/>
  <c r="AC155" i="1"/>
  <c r="AC151" i="1"/>
  <c r="AC150" i="1"/>
  <c r="AC148" i="1"/>
  <c r="AC105" i="1"/>
  <c r="AC147" i="1"/>
  <c r="AB789" i="1" l="1"/>
  <c r="AB773" i="1" s="1"/>
  <c r="Y883" i="1"/>
  <c r="AB883" i="1"/>
  <c r="AB802" i="1" l="1"/>
  <c r="AC113" i="1"/>
  <c r="AC114" i="1"/>
  <c r="AC115" i="1"/>
  <c r="AC116" i="1"/>
  <c r="AC117" i="1"/>
  <c r="AC118" i="1"/>
  <c r="AC119" i="1"/>
  <c r="AC120" i="1"/>
  <c r="AC122" i="1"/>
  <c r="AC123" i="1"/>
  <c r="AC124" i="1"/>
  <c r="AC125" i="1"/>
  <c r="AC126" i="1"/>
  <c r="AC127" i="1"/>
  <c r="AC128" i="1"/>
  <c r="AC129" i="1"/>
  <c r="AC130" i="1"/>
  <c r="AC112" i="1"/>
  <c r="AC108" i="1"/>
  <c r="AC109" i="1"/>
  <c r="AC101" i="1"/>
  <c r="Y786" i="1" l="1"/>
  <c r="Y787" i="1"/>
  <c r="Y785" i="1"/>
  <c r="Y783" i="1"/>
  <c r="AB60" i="1" l="1"/>
  <c r="Y777" i="1"/>
  <c r="AB65" i="1" l="1"/>
  <c r="X595" i="1"/>
  <c r="AB595" i="1"/>
  <c r="AB830" i="1"/>
  <c r="AB820" i="1" s="1"/>
  <c r="AB672" i="1"/>
  <c r="Y702" i="1"/>
  <c r="Y703" i="1"/>
  <c r="Y701" i="1"/>
  <c r="Y695" i="1"/>
  <c r="Y689" i="1"/>
  <c r="Y687" i="1"/>
  <c r="Y685" i="1"/>
  <c r="Y683" i="1"/>
  <c r="Y675" i="1"/>
  <c r="AB654" i="1"/>
  <c r="W654" i="1"/>
  <c r="X654" i="1"/>
  <c r="Y654" i="1"/>
  <c r="AD654" i="1"/>
  <c r="AE654" i="1"/>
  <c r="AF654" i="1"/>
  <c r="Y605" i="1" l="1"/>
  <c r="Y595" i="1" s="1"/>
  <c r="AF642" i="1"/>
  <c r="AG3" i="1"/>
  <c r="X65" i="1" l="1"/>
  <c r="AF595" i="1"/>
  <c r="W1102" i="1"/>
  <c r="W1096" i="1"/>
  <c r="V1096" i="1"/>
  <c r="W1069" i="1"/>
  <c r="W1056" i="1"/>
  <c r="W1003" i="1"/>
  <c r="V1003" i="1"/>
  <c r="W991" i="1"/>
  <c r="V990" i="1" l="1"/>
  <c r="V1155" i="1" s="1"/>
  <c r="W990" i="1"/>
  <c r="X773" i="1" l="1"/>
  <c r="Y780" i="1"/>
  <c r="Y773" i="1" s="1"/>
  <c r="W42" i="1" l="1"/>
  <c r="X42" i="1"/>
  <c r="Y42" i="1"/>
  <c r="AB42" i="1"/>
  <c r="AD42" i="1"/>
  <c r="AE42" i="1"/>
  <c r="AF42" i="1"/>
  <c r="AG42" i="1"/>
  <c r="AH42" i="1"/>
  <c r="AI42" i="1"/>
  <c r="AC42" i="1" l="1"/>
  <c r="X672" i="1"/>
  <c r="Y672" i="1"/>
  <c r="AC672" i="1" l="1"/>
  <c r="AB805" i="1"/>
  <c r="W814" i="1"/>
  <c r="AC654" i="1" l="1"/>
  <c r="AC595" i="1" l="1"/>
  <c r="X856" i="1"/>
  <c r="Y856" i="1"/>
  <c r="AB856" i="1"/>
  <c r="AC856" i="1" l="1"/>
  <c r="AB503" i="1"/>
  <c r="AC773" i="1" l="1"/>
  <c r="X733" i="1" l="1"/>
  <c r="Y733" i="1"/>
  <c r="X464" i="1" l="1"/>
  <c r="X487" i="1"/>
  <c r="AB507" i="1" l="1"/>
  <c r="AB506" i="1"/>
  <c r="AB496" i="1"/>
  <c r="AB494" i="1"/>
  <c r="Y487" i="1"/>
  <c r="AB487" i="1"/>
  <c r="AD487" i="1"/>
  <c r="AE487" i="1"/>
  <c r="AF487" i="1"/>
  <c r="AG487" i="1"/>
  <c r="AH487" i="1"/>
  <c r="AC487" i="1" l="1"/>
  <c r="AN65" i="1" l="1"/>
  <c r="X883" i="1" l="1"/>
  <c r="X867" i="1" l="1"/>
  <c r="AB867" i="1"/>
  <c r="W883" i="1" l="1"/>
  <c r="Y464" i="1" l="1"/>
  <c r="AB464" i="1"/>
  <c r="AD464" i="1"/>
  <c r="AE464" i="1"/>
  <c r="X820" i="1"/>
  <c r="W820" i="1"/>
  <c r="Y820" i="1"/>
  <c r="AC464" i="1" l="1"/>
  <c r="AC820" i="1"/>
  <c r="AD990" i="1" l="1"/>
  <c r="AE990" i="1"/>
  <c r="AF990" i="1"/>
  <c r="AG990" i="1"/>
  <c r="AH990" i="1"/>
  <c r="AD883" i="1"/>
  <c r="AE883" i="1"/>
  <c r="AF883" i="1"/>
  <c r="AG883" i="1"/>
  <c r="AH883" i="1"/>
  <c r="Y867" i="1"/>
  <c r="AC867" i="1" s="1"/>
  <c r="AD867" i="1"/>
  <c r="AE867" i="1"/>
  <c r="AF867" i="1"/>
  <c r="AG867" i="1"/>
  <c r="AH867" i="1"/>
  <c r="W856" i="1"/>
  <c r="AD856" i="1"/>
  <c r="AE856" i="1"/>
  <c r="AF856" i="1"/>
  <c r="AG856" i="1"/>
  <c r="AH856" i="1"/>
  <c r="W846" i="1"/>
  <c r="X846" i="1"/>
  <c r="Y846" i="1"/>
  <c r="AB846" i="1"/>
  <c r="AD846" i="1"/>
  <c r="AE846" i="1"/>
  <c r="AF846" i="1"/>
  <c r="AG846" i="1"/>
  <c r="AH846" i="1"/>
  <c r="W835" i="1"/>
  <c r="X835" i="1"/>
  <c r="Y835" i="1"/>
  <c r="AB835" i="1"/>
  <c r="AD835" i="1"/>
  <c r="AE835" i="1"/>
  <c r="AF835" i="1"/>
  <c r="AG835" i="1"/>
  <c r="AH835" i="1"/>
  <c r="AD820" i="1"/>
  <c r="AE820" i="1"/>
  <c r="AF820" i="1"/>
  <c r="AG820" i="1"/>
  <c r="AH820" i="1"/>
  <c r="AH817" i="1"/>
  <c r="W817" i="1"/>
  <c r="X817" i="1"/>
  <c r="Y817" i="1"/>
  <c r="AB817" i="1"/>
  <c r="AD817" i="1"/>
  <c r="AE817" i="1"/>
  <c r="AF817" i="1"/>
  <c r="AG817" i="1"/>
  <c r="X814" i="1"/>
  <c r="Y814" i="1"/>
  <c r="AB814" i="1"/>
  <c r="AD814" i="1"/>
  <c r="AE814" i="1"/>
  <c r="AF814" i="1"/>
  <c r="AG814" i="1"/>
  <c r="AH814" i="1"/>
  <c r="W805" i="1"/>
  <c r="X805" i="1"/>
  <c r="Y805" i="1"/>
  <c r="AD805" i="1"/>
  <c r="AE805" i="1"/>
  <c r="AF805" i="1"/>
  <c r="AG805" i="1"/>
  <c r="AH805" i="1"/>
  <c r="W802" i="1"/>
  <c r="X802" i="1"/>
  <c r="Y802" i="1"/>
  <c r="AD802" i="1"/>
  <c r="AE802" i="1"/>
  <c r="AF802" i="1"/>
  <c r="AG802" i="1"/>
  <c r="AH802" i="1"/>
  <c r="W799" i="1"/>
  <c r="X799" i="1"/>
  <c r="Y799" i="1"/>
  <c r="AB799" i="1"/>
  <c r="AD799" i="1"/>
  <c r="AE799" i="1"/>
  <c r="AF799" i="1"/>
  <c r="AG799" i="1"/>
  <c r="AH799" i="1"/>
  <c r="W796" i="1"/>
  <c r="X796" i="1"/>
  <c r="Y796" i="1"/>
  <c r="AB796" i="1"/>
  <c r="AD796" i="1"/>
  <c r="AE796" i="1"/>
  <c r="AF796" i="1"/>
  <c r="AG796" i="1"/>
  <c r="AH796" i="1"/>
  <c r="W792" i="1"/>
  <c r="X792" i="1"/>
  <c r="Y792" i="1"/>
  <c r="AB792" i="1"/>
  <c r="AD792" i="1"/>
  <c r="AE792" i="1"/>
  <c r="AF792" i="1"/>
  <c r="AG792" i="1"/>
  <c r="AH792" i="1"/>
  <c r="W773" i="1"/>
  <c r="AD773" i="1"/>
  <c r="AE773" i="1"/>
  <c r="AF773" i="1"/>
  <c r="AG773" i="1"/>
  <c r="AH773" i="1"/>
  <c r="X767" i="1"/>
  <c r="Y767" i="1"/>
  <c r="AB767" i="1"/>
  <c r="AE767" i="1"/>
  <c r="AF767" i="1"/>
  <c r="AG767" i="1"/>
  <c r="AH767" i="1"/>
  <c r="W763" i="1"/>
  <c r="X763" i="1"/>
  <c r="Y763" i="1"/>
  <c r="AB763" i="1"/>
  <c r="AD763" i="1"/>
  <c r="AE763" i="1"/>
  <c r="AF763" i="1"/>
  <c r="AG763" i="1"/>
  <c r="AH763" i="1"/>
  <c r="W759" i="1"/>
  <c r="X759" i="1"/>
  <c r="Y759" i="1"/>
  <c r="AB759" i="1"/>
  <c r="AD759" i="1"/>
  <c r="AE759" i="1"/>
  <c r="AF759" i="1"/>
  <c r="AG759" i="1"/>
  <c r="AH759" i="1"/>
  <c r="AB751" i="1"/>
  <c r="AB733" i="1" s="1"/>
  <c r="AC733" i="1" s="1"/>
  <c r="AD751" i="1"/>
  <c r="AE751" i="1"/>
  <c r="AE733" i="1" s="1"/>
  <c r="AF751" i="1"/>
  <c r="AG751" i="1"/>
  <c r="AG733" i="1" s="1"/>
  <c r="AH751" i="1"/>
  <c r="AD733" i="1"/>
  <c r="AF733" i="1"/>
  <c r="AH733" i="1"/>
  <c r="AI735" i="1" s="1"/>
  <c r="X722" i="1"/>
  <c r="Y722" i="1"/>
  <c r="AB722" i="1"/>
  <c r="AD722" i="1"/>
  <c r="AE722" i="1"/>
  <c r="AF722" i="1"/>
  <c r="AG722" i="1"/>
  <c r="AH722" i="1"/>
  <c r="AD672" i="1"/>
  <c r="AE672" i="1"/>
  <c r="AF672" i="1"/>
  <c r="AG672" i="1"/>
  <c r="AH672" i="1"/>
  <c r="X648" i="1"/>
  <c r="Y648" i="1"/>
  <c r="AB648" i="1"/>
  <c r="AD648" i="1"/>
  <c r="AE648" i="1"/>
  <c r="AF648" i="1"/>
  <c r="AG648" i="1"/>
  <c r="AH648" i="1"/>
  <c r="AD595" i="1"/>
  <c r="AE595" i="1"/>
  <c r="AG595" i="1"/>
  <c r="AH595" i="1"/>
  <c r="X588" i="1"/>
  <c r="AB588" i="1"/>
  <c r="AD588" i="1"/>
  <c r="AE588" i="1"/>
  <c r="AF588" i="1"/>
  <c r="AG588" i="1"/>
  <c r="AH588" i="1"/>
  <c r="X563" i="1"/>
  <c r="Y563" i="1"/>
  <c r="Y492" i="1" s="1"/>
  <c r="AB563" i="1"/>
  <c r="AB492" i="1" s="1"/>
  <c r="AD563" i="1"/>
  <c r="AE563" i="1"/>
  <c r="AF563" i="1"/>
  <c r="AG563" i="1"/>
  <c r="AG492" i="1" s="1"/>
  <c r="AH563" i="1"/>
  <c r="AD492" i="1"/>
  <c r="AE492" i="1"/>
  <c r="AF492" i="1"/>
  <c r="AH492" i="1"/>
  <c r="AF464" i="1"/>
  <c r="AG464" i="1"/>
  <c r="AH464" i="1"/>
  <c r="AD65" i="1"/>
  <c r="AE65" i="1"/>
  <c r="AF65" i="1"/>
  <c r="AG65" i="1"/>
  <c r="AH65" i="1"/>
  <c r="AH38" i="1"/>
  <c r="AG38" i="1"/>
  <c r="AF38" i="1"/>
  <c r="AE38" i="1"/>
  <c r="AD38" i="1"/>
  <c r="AB38" i="1"/>
  <c r="Y38" i="1"/>
  <c r="X38" i="1"/>
  <c r="AH35" i="1"/>
  <c r="AG35" i="1"/>
  <c r="AF35" i="1"/>
  <c r="AE35" i="1"/>
  <c r="AD35" i="1"/>
  <c r="AB35" i="1"/>
  <c r="Y35" i="1"/>
  <c r="X35" i="1"/>
  <c r="AH30" i="1"/>
  <c r="AG30" i="1"/>
  <c r="AF30" i="1"/>
  <c r="AE30" i="1"/>
  <c r="AD30" i="1"/>
  <c r="AB30" i="1"/>
  <c r="Y30" i="1"/>
  <c r="X30" i="1"/>
  <c r="AG13" i="1"/>
  <c r="AF13" i="1"/>
  <c r="AE13" i="1"/>
  <c r="AD13" i="1"/>
  <c r="AB13" i="1"/>
  <c r="Y13" i="1"/>
  <c r="X13" i="1"/>
  <c r="AG6" i="1"/>
  <c r="AF6" i="1"/>
  <c r="AE6" i="1"/>
  <c r="AD6" i="1"/>
  <c r="AB6" i="1"/>
  <c r="Y6" i="1"/>
  <c r="X6" i="1"/>
  <c r="AH3" i="1"/>
  <c r="AF3" i="1"/>
  <c r="AE3" i="1"/>
  <c r="AD3" i="1"/>
  <c r="AB3" i="1"/>
  <c r="Y3" i="1"/>
  <c r="X3" i="1"/>
  <c r="Y65" i="1" l="1"/>
  <c r="AC65" i="1" s="1"/>
  <c r="X492" i="1"/>
  <c r="AC767" i="1"/>
  <c r="AB1155" i="1"/>
  <c r="W1155" i="1"/>
  <c r="AC805" i="1"/>
  <c r="AC883" i="1"/>
  <c r="AC846" i="1"/>
  <c r="AC751" i="1"/>
  <c r="AC722" i="1"/>
  <c r="AC814" i="1"/>
  <c r="AC648" i="1"/>
  <c r="AC563" i="1"/>
  <c r="Y588" i="1"/>
  <c r="AC588" i="1" s="1"/>
  <c r="X1155" i="1" l="1"/>
  <c r="AC492" i="1"/>
  <c r="Y1155" i="1"/>
  <c r="AC799" i="1" l="1"/>
  <c r="AC30" i="1" l="1"/>
  <c r="AC3" i="1" l="1"/>
  <c r="AC817" i="1"/>
  <c r="AC35" i="1"/>
  <c r="AC38" i="1"/>
  <c r="AC792" i="1"/>
  <c r="AC796" i="1"/>
  <c r="AC759" i="1"/>
  <c r="AC6" i="1"/>
  <c r="AC763" i="1"/>
  <c r="AC13" i="1"/>
  <c r="AC802" i="1"/>
  <c r="AC835" i="1"/>
  <c r="AD767" i="1"/>
  <c r="AH13" i="1"/>
  <c r="AH6" i="1" s="1"/>
</calcChain>
</file>

<file path=xl/comments1.xml><?xml version="1.0" encoding="utf-8"?>
<comments xmlns="http://schemas.openxmlformats.org/spreadsheetml/2006/main">
  <authors>
    <author>Пронько Ніна</author>
  </authors>
  <commentList>
    <comment ref="N636" authorId="0" shapeId="0">
      <text>
        <r>
          <rPr>
            <b/>
            <sz val="9"/>
            <color indexed="81"/>
            <rFont val="Tahoma"/>
            <family val="2"/>
            <charset val="204"/>
          </rPr>
          <t>Пронько Ніна:</t>
        </r>
        <r>
          <rPr>
            <sz val="9"/>
            <color indexed="81"/>
            <rFont val="Tahoma"/>
            <family val="2"/>
            <charset val="204"/>
          </rPr>
          <t xml:space="preserve">
школа рудне</t>
        </r>
      </text>
    </comment>
    <comment ref="N647" authorId="0" shapeId="0">
      <text>
        <r>
          <rPr>
            <b/>
            <sz val="9"/>
            <color indexed="81"/>
            <rFont val="Tahoma"/>
            <family val="2"/>
            <charset val="204"/>
          </rPr>
          <t>Пронько Ніна:</t>
        </r>
        <r>
          <rPr>
            <sz val="9"/>
            <color indexed="81"/>
            <rFont val="Tahoma"/>
            <family val="2"/>
            <charset val="204"/>
          </rPr>
          <t xml:space="preserve">
2 млн підйомники</t>
        </r>
      </text>
    </comment>
    <comment ref="U647" authorId="0" shapeId="0">
      <text>
        <r>
          <rPr>
            <b/>
            <sz val="9"/>
            <color indexed="81"/>
            <rFont val="Tahoma"/>
            <family val="2"/>
            <charset val="204"/>
          </rPr>
          <t>Пронько Ніна:</t>
        </r>
        <r>
          <rPr>
            <sz val="9"/>
            <color indexed="81"/>
            <rFont val="Tahoma"/>
            <family val="2"/>
            <charset val="204"/>
          </rPr>
          <t xml:space="preserve">
2 млн підйомники</t>
        </r>
      </text>
    </comment>
  </commentList>
</comments>
</file>

<file path=xl/sharedStrings.xml><?xml version="1.0" encoding="utf-8"?>
<sst xmlns="http://schemas.openxmlformats.org/spreadsheetml/2006/main" count="8477" uniqueCount="1484">
  <si>
    <t>Загальна вартість будівництва, гривень</t>
  </si>
  <si>
    <t>Рівень виконання робіт на початок бюджетного періоду, %</t>
  </si>
  <si>
    <t>Рівень готовності об'єкта на кінець бюджетного періоду, %</t>
  </si>
  <si>
    <t>Проект Програми "24/7"
 (так/ні)</t>
  </si>
  <si>
    <t>ПДВ</t>
  </si>
  <si>
    <t>Дозапозиченння (місцевий внесок)</t>
  </si>
  <si>
    <t>Capex</t>
  </si>
  <si>
    <t>EBITDA</t>
  </si>
  <si>
    <t>Лізинг</t>
  </si>
  <si>
    <t>Розпочатий у 2020 році та сума яку планують освоїти у 2021</t>
  </si>
  <si>
    <t>Нові об'єкти на які є ПКД</t>
  </si>
  <si>
    <t>0100000</t>
  </si>
  <si>
    <t>Управління "Секретаріат ради"</t>
  </si>
  <si>
    <t>0110000</t>
  </si>
  <si>
    <t>0110160</t>
  </si>
  <si>
    <t>0160</t>
  </si>
  <si>
    <t>0111</t>
  </si>
  <si>
    <t>Керівництво і управління у сфері забезпечення діяльності депутатського корпусу Львівської міської ради</t>
  </si>
  <si>
    <t>Придбання обладнання та предметів довгострокового користування</t>
  </si>
  <si>
    <t>0200000</t>
  </si>
  <si>
    <t>Виконавчий комітет Львівської міської ради</t>
  </si>
  <si>
    <t>0210000</t>
  </si>
  <si>
    <t>0210160</t>
  </si>
  <si>
    <t>Керівництво і управління у сфері забезпечення діяльності виконавчих органів Львівської міської ради</t>
  </si>
  <si>
    <t>0210180</t>
  </si>
  <si>
    <t>0180</t>
  </si>
  <si>
    <t>0133</t>
  </si>
  <si>
    <t>Інша діяльність у сфері державного управління</t>
  </si>
  <si>
    <t>Придбання обладнання та предметів довгострокового користування (трудовий архів)</t>
  </si>
  <si>
    <t>0217670</t>
  </si>
  <si>
    <t>7670</t>
  </si>
  <si>
    <t>0490</t>
  </si>
  <si>
    <t>Внески до статутного капіталу суб'єктів господарювання</t>
  </si>
  <si>
    <t>Внески до статутного капіталу комунальної установи Інституту міста</t>
  </si>
  <si>
    <t>Департамент адміністративних послуг</t>
  </si>
  <si>
    <t>Керівництво і управління у сфері надання інформаційних та адміністративних послуг</t>
  </si>
  <si>
    <t>Внески до статутного капіталу ЛКП "Ратуша-сервіс"</t>
  </si>
  <si>
    <t>Юридичний департамент</t>
  </si>
  <si>
    <t>Управління персоналом</t>
  </si>
  <si>
    <t>Керівництво і управління у сфері реалізації кадрової стратегії Львівської міської ради</t>
  </si>
  <si>
    <t xml:space="preserve">Придбання обладнання та предметів довгострокового користування </t>
  </si>
  <si>
    <t>Департамент міської агломерації</t>
  </si>
  <si>
    <t>Керівництво і управління у сфері містобудування</t>
  </si>
  <si>
    <t>Департамент містобудування</t>
  </si>
  <si>
    <t>0600000</t>
  </si>
  <si>
    <t>Управління освіти</t>
  </si>
  <si>
    <t>0610000</t>
  </si>
  <si>
    <t>0700000</t>
  </si>
  <si>
    <t>Управління охорони здоров'я</t>
  </si>
  <si>
    <t>0710000</t>
  </si>
  <si>
    <t>0717670</t>
  </si>
  <si>
    <t>Внески до статутного капіталу КНП "Міська дитяча клінічна лікарня м. Львова"</t>
  </si>
  <si>
    <t>0800000</t>
  </si>
  <si>
    <t>Управління соціального захисту</t>
  </si>
  <si>
    <t>0810000</t>
  </si>
  <si>
    <t>0900000</t>
  </si>
  <si>
    <t>Управління "Служба у справах дітей"</t>
  </si>
  <si>
    <t>0910000</t>
  </si>
  <si>
    <t>1000000</t>
  </si>
  <si>
    <t xml:space="preserve">Управління культури </t>
  </si>
  <si>
    <t>1010000</t>
  </si>
  <si>
    <t>1100000</t>
  </si>
  <si>
    <t>Управління спорту</t>
  </si>
  <si>
    <t>1110000</t>
  </si>
  <si>
    <t>Управління молодіжної політики</t>
  </si>
  <si>
    <t>1200000</t>
  </si>
  <si>
    <t>Департамент житлового господарства та інфраструктури</t>
  </si>
  <si>
    <t>1210000</t>
  </si>
  <si>
    <t>1217670</t>
  </si>
  <si>
    <t>Внески до статутного капіталу ЛКП "ШРП Шевченківського району"</t>
  </si>
  <si>
    <t>Внески до статутного капіталу ЛМКП "Львівводоканал"</t>
  </si>
  <si>
    <t>Внески до статутного капіталу ЛКП "Львівавтодор"</t>
  </si>
  <si>
    <t>Внески до статутного капіталу ЛМКП "Львівтеплоенерго"</t>
  </si>
  <si>
    <t>Внески до статутного капіталу ЛКП "Залізничнетеплоенерго"</t>
  </si>
  <si>
    <t>Внески до статутного капіталу ЛКП "Львівсвітло"</t>
  </si>
  <si>
    <t>1600000</t>
  </si>
  <si>
    <t>Управління архітектури та урбаністики</t>
  </si>
  <si>
    <t>1610000</t>
  </si>
  <si>
    <t>1800000</t>
  </si>
  <si>
    <t>Управління охорони історичного середовища</t>
  </si>
  <si>
    <t>1810000</t>
  </si>
  <si>
    <t>1900000</t>
  </si>
  <si>
    <t>Управління транспорту</t>
  </si>
  <si>
    <t>1910000</t>
  </si>
  <si>
    <t>1917670</t>
  </si>
  <si>
    <t>Внески до статутного капіталу ЛКП "Львівелектротранс"</t>
  </si>
  <si>
    <t xml:space="preserve">Внески до статутного капіталу ЛК АТП № 1 </t>
  </si>
  <si>
    <t>2000000</t>
  </si>
  <si>
    <t>Департамент розвитку</t>
  </si>
  <si>
    <t>2010000</t>
  </si>
  <si>
    <t>Внески до статутного капіталу ЛКП "Міський центр інформаційних технологій"</t>
  </si>
  <si>
    <t>2017670</t>
  </si>
  <si>
    <t>Внески до статутного капіталу КУ “Львівський міський молодіжний центр“</t>
  </si>
  <si>
    <t>Внески до статутного капіталу ЛКП "Львівське конференц-бюро"</t>
  </si>
  <si>
    <t>Внески до статутного капіталу КУ "Інститут стратегії культури"</t>
  </si>
  <si>
    <t>Внески до статутного капіталу ЛКП "Львівське радіо"</t>
  </si>
  <si>
    <t>2200000</t>
  </si>
  <si>
    <t>Управління безпеки міста</t>
  </si>
  <si>
    <t>2210000</t>
  </si>
  <si>
    <t>2217670</t>
  </si>
  <si>
    <t>Внески до статутного капіталу ЛКП "Муніципальна варта"</t>
  </si>
  <si>
    <t>2300000</t>
  </si>
  <si>
    <t>Департамент "Адміністрація міського голови"</t>
  </si>
  <si>
    <t>2310000</t>
  </si>
  <si>
    <t>2310160</t>
  </si>
  <si>
    <t>Керівництво і управління у сфері реалізації інформаційної та внутрішньої політики Львівської міської ради</t>
  </si>
  <si>
    <t>2317330</t>
  </si>
  <si>
    <t>7330</t>
  </si>
  <si>
    <t>0443</t>
  </si>
  <si>
    <t>Будівництво інших об'єктів комунальної власності</t>
  </si>
  <si>
    <t>Капітальний ремонт приміщень на вул. М. Коперника, 20-22 у м. Львові</t>
  </si>
  <si>
    <t>2600000</t>
  </si>
  <si>
    <t>Управління туризму</t>
  </si>
  <si>
    <t>2610000</t>
  </si>
  <si>
    <t>2617670</t>
  </si>
  <si>
    <t>Внески до статутного капіталу ЛКП "Центр розвитку туризму м. Львова"</t>
  </si>
  <si>
    <t>Департамент економічного розвитку</t>
  </si>
  <si>
    <t>2710160</t>
  </si>
  <si>
    <t>Керівництво і управління у сфері економіки</t>
  </si>
  <si>
    <t>Внески до статутного капіталу ЛКП "Центр підтримки підприємництва"</t>
  </si>
  <si>
    <t>2717670</t>
  </si>
  <si>
    <t>Внески до статутного капіталу ЛКП "Зелене місто"</t>
  </si>
  <si>
    <t>2800000</t>
  </si>
  <si>
    <t>Управління екології та природних ресурсів</t>
  </si>
  <si>
    <t>2810000</t>
  </si>
  <si>
    <t>2900000</t>
  </si>
  <si>
    <t>Управління з питань надзвичайних ситуацій та цивільного захисту населення</t>
  </si>
  <si>
    <t>2910000</t>
  </si>
  <si>
    <t>2910160</t>
  </si>
  <si>
    <t>Придбання обладнання і предметів довгострокового користування</t>
  </si>
  <si>
    <t>Капітальний ремонт системи відкачування стічних вод на об'єкті "Льодосховище"</t>
  </si>
  <si>
    <t>2918230</t>
  </si>
  <si>
    <t>8230</t>
  </si>
  <si>
    <t>0380</t>
  </si>
  <si>
    <t>Інші заходи громадського порядку та безпеки</t>
  </si>
  <si>
    <t>Виконання Програми вдосконалення і розвитку територіальної (місцевої) системи централізованого оповіщення цивільного захисту у м. Львові на 2019-2022 роки</t>
  </si>
  <si>
    <t>3100000</t>
  </si>
  <si>
    <t>Управління комунальної власності</t>
  </si>
  <si>
    <t>3110000</t>
  </si>
  <si>
    <t>3110160</t>
  </si>
  <si>
    <t>Керівництво і управління у сфері комунальної власності</t>
  </si>
  <si>
    <t>3300000</t>
  </si>
  <si>
    <t>Управління державної реєстрації</t>
  </si>
  <si>
    <t>3310000</t>
  </si>
  <si>
    <t>3400000</t>
  </si>
  <si>
    <t>Управління адміністрування послуг</t>
  </si>
  <si>
    <t>3410000</t>
  </si>
  <si>
    <t>Керівництво і управління у сфері адміністрування послуг</t>
  </si>
  <si>
    <t>3600000</t>
  </si>
  <si>
    <t>Управління земельних ресурсів</t>
  </si>
  <si>
    <t>3610000</t>
  </si>
  <si>
    <t>3610160</t>
  </si>
  <si>
    <t>3617130</t>
  </si>
  <si>
    <t>7130</t>
  </si>
  <si>
    <t>0421</t>
  </si>
  <si>
    <t>Проведення експертної грошової оцінки земельних ділянок, що підлягають продажу відповідно до статті 128 Земельного кодексу України</t>
  </si>
  <si>
    <t>3617660</t>
  </si>
  <si>
    <t>7660</t>
  </si>
  <si>
    <t>3700000</t>
  </si>
  <si>
    <t>Департамент фінансової політики</t>
  </si>
  <si>
    <t>3710000</t>
  </si>
  <si>
    <t>Керівництво і управління у сфері реалізації фінансової політики при виконанні повноважень органами місцевого самоврядування</t>
  </si>
  <si>
    <t>Управління фінансів</t>
  </si>
  <si>
    <t>Керівництво і управління у сфері складання та виконання місцевого бюджету</t>
  </si>
  <si>
    <t>4100000</t>
  </si>
  <si>
    <t>Галицька районна адміністрація</t>
  </si>
  <si>
    <t>4110000</t>
  </si>
  <si>
    <t>4200000</t>
  </si>
  <si>
    <t>Залізнична районна адміністрація</t>
  </si>
  <si>
    <t>4210000</t>
  </si>
  <si>
    <t>4300000</t>
  </si>
  <si>
    <t>Личаківська районна адміністрація</t>
  </si>
  <si>
    <t>4310000</t>
  </si>
  <si>
    <t>4400000</t>
  </si>
  <si>
    <t>Франківська районна адміністрація</t>
  </si>
  <si>
    <t>4410000</t>
  </si>
  <si>
    <t>4500000</t>
  </si>
  <si>
    <t>Шевченківська районна адміністрація</t>
  </si>
  <si>
    <t>4510000</t>
  </si>
  <si>
    <t>4600000</t>
  </si>
  <si>
    <t>Сихівська районна адміністрація</t>
  </si>
  <si>
    <t>4610000</t>
  </si>
  <si>
    <t>РЕАЛІЗАЦІЯ ПРОЕКТУ "ГРОМАДСЬКИЙ БЮДЖЕТ"</t>
  </si>
  <si>
    <t>7370</t>
  </si>
  <si>
    <t>Реалізація інших заходів щодо соціально-економічного розвитку територій</t>
  </si>
  <si>
    <t>Перелік об'єктів, фінансування яких буде проводитись за рахунок запозичень до міського бюджету</t>
  </si>
  <si>
    <t>Будівництво об’єктів житлово-комунального господарства</t>
  </si>
  <si>
    <t>1217310</t>
  </si>
  <si>
    <t>7310</t>
  </si>
  <si>
    <t>Нерозподілені видатки</t>
  </si>
  <si>
    <t>Х</t>
  </si>
  <si>
    <t>УСЬОГО</t>
  </si>
  <si>
    <t>Департамент з питань поводження з відходами</t>
  </si>
  <si>
    <t>зв</t>
  </si>
  <si>
    <t>0712010</t>
  </si>
  <si>
    <t>0731</t>
  </si>
  <si>
    <t>Багатопрофільна стаціонарна медична допомога населенню</t>
  </si>
  <si>
    <t>0717322</t>
  </si>
  <si>
    <t>7322</t>
  </si>
  <si>
    <t>Будівництво медичних установ та закладів</t>
  </si>
  <si>
    <t>0817323</t>
  </si>
  <si>
    <t>7323</t>
  </si>
  <si>
    <t>Будівництво установ та закладів соціальної сфери</t>
  </si>
  <si>
    <t>1011080</t>
  </si>
  <si>
    <t>1080</t>
  </si>
  <si>
    <t>0960</t>
  </si>
  <si>
    <t>Надання спеціальної освіти мистецькими школами</t>
  </si>
  <si>
    <t>Закупівля необхідного обладнання та інструментів для багатофункційних приміщень ДШМ № 5 м. Львова</t>
  </si>
  <si>
    <t>1017670</t>
  </si>
  <si>
    <t xml:space="preserve">Придбання бандур для Львівської державної музичної школи № 2 </t>
  </si>
  <si>
    <t>Придбання предметів та обладнання довгострокового користування для ДШМ № 5 м. Львова</t>
  </si>
  <si>
    <t>1014060</t>
  </si>
  <si>
    <t>4060</t>
  </si>
  <si>
    <t>0828</t>
  </si>
  <si>
    <t>Забезпечення діяльності палаців і будинків культури, клубів, центрів дозвілля та інших клубних закладів</t>
  </si>
  <si>
    <t>Придбання предметів довгострокового користування для ХотАртКласу Міського палацу культури ім. Г. Хоткевича</t>
  </si>
  <si>
    <t>1017324</t>
  </si>
  <si>
    <t>7324</t>
  </si>
  <si>
    <t>Будівництво установ та закладів культури</t>
  </si>
  <si>
    <t>Облаштування ХотАртКласу Міського палацу культури ім. Г. Хоткевича</t>
  </si>
  <si>
    <t>1117325</t>
  </si>
  <si>
    <t>7325</t>
  </si>
  <si>
    <t>Будівництво споруд, установ та закладів фізичної культури і спорту</t>
  </si>
  <si>
    <t>Капітальний ремонт дитячо-спортивного майданчика на вул. М. Черемшини, 29</t>
  </si>
  <si>
    <t>6030</t>
  </si>
  <si>
    <t>0620</t>
  </si>
  <si>
    <t>Організація благоустрою населених пунктів</t>
  </si>
  <si>
    <t>Капітальний ремонт двору на вул. Снопківській, 47</t>
  </si>
  <si>
    <t>Капітальний ремонт скверу на вул. П. Грабовського, 11</t>
  </si>
  <si>
    <t>4217310</t>
  </si>
  <si>
    <t>Капітальний ремонт дитячого майданчика на вул. Вигоди, 60-62</t>
  </si>
  <si>
    <t>Капітальний ремонт дитячого майданчика на вул. Любінській, 164</t>
  </si>
  <si>
    <t>Капітальний ремонт дитячого майданчика на вул. Любінській, 98</t>
  </si>
  <si>
    <t>4417310</t>
  </si>
  <si>
    <t>Капітальний ремонт тротуару на вул. І. Рубчака, 8</t>
  </si>
  <si>
    <t>Капітальний ремонт дитячого майданчика на вул. Героїв УПА, 80</t>
  </si>
  <si>
    <t>4517310</t>
  </si>
  <si>
    <t>Благоустрій водного каналу на вул. І. Величковського у м. Львові (капітальний ремонт)</t>
  </si>
  <si>
    <t>4617310</t>
  </si>
  <si>
    <t>Капітальний ремонт доріг та тротуарів на просп. Червоної Калини, 110 у м. Львові</t>
  </si>
  <si>
    <t>Капітальний ремонт дитячого майданчика на вул. В. Чукаріна, 2 у м. Львові</t>
  </si>
  <si>
    <t>Виконані на 100% та неоплачені роботи (борг)</t>
  </si>
  <si>
    <t xml:space="preserve">Керівництво і управління у сфері правової роботи у Львівській міській раді </t>
  </si>
  <si>
    <t>0217370</t>
  </si>
  <si>
    <t>0217310</t>
  </si>
  <si>
    <t>Капітальний ремонт території стадіону в с. Підбірці</t>
  </si>
  <si>
    <t>0216030</t>
  </si>
  <si>
    <t>Закупівля з встановленням спортивного обладнання на території ЗОШ І-ІІІ ст. в с. Підбірці</t>
  </si>
  <si>
    <t>Закупівля мультимедійного обладнання для ДНЗ в с. Гряда</t>
  </si>
  <si>
    <t>Закупівлі з встановленням ігрового обладнання в с. Зашків</t>
  </si>
  <si>
    <t>Закупівля обладнання і зовнішнього оформлення для сцени Народного дому "Просвіта" в м. Дубляни</t>
  </si>
  <si>
    <t>Закупівля з монтажем ігрового комплексу в с. Лисиничі</t>
  </si>
  <si>
    <t>Капітальний ремонт вул. І. Франка у с. Зарудці</t>
  </si>
  <si>
    <t>3310160</t>
  </si>
  <si>
    <t>ні</t>
  </si>
  <si>
    <t>2017-2021</t>
  </si>
  <si>
    <t>2610160</t>
  </si>
  <si>
    <t>Керівництво і управління у сфері туризму</t>
  </si>
  <si>
    <t xml:space="preserve">Внески до статутного капіталу суб'єктів господарювання </t>
  </si>
  <si>
    <t>Підготовка земельних ділянок несільськогосподарського призначення або прав на них комунальної власності для продажу на земельних торгах та проведення таких торгів</t>
  </si>
  <si>
    <t>2010160</t>
  </si>
  <si>
    <t>Керівництво і управління у сфері інформатизації та аналітичного забезпечення</t>
  </si>
  <si>
    <t>1419770</t>
  </si>
  <si>
    <t>9770</t>
  </si>
  <si>
    <t>Інші субвенції з місцевого бюджету</t>
  </si>
  <si>
    <t>Програма відшкодування додаткових витрат на вивезення твердих побутових відходів</t>
  </si>
  <si>
    <t>Благоустрій скверу ім. Джона Леннона на вул. Дж. Леннона у м. Львові (капітальний ремонт)</t>
  </si>
  <si>
    <t>Капітальний ремонт житлового фонду</t>
  </si>
  <si>
    <t>Виконання Міської програми забезпечення доступності житлових приміщень осіб з інвалідністю у кріслах колісних та осіб з інвалідністю з порушенням зору 1 групи</t>
  </si>
  <si>
    <t>Виконання Міської програми технічної експертизи, модернізації, ремонту, заміни та диспетчеризації ліфтів у житлових будинках та закладах охорони здоров’я м. Львова на період 2017-2023 років</t>
  </si>
  <si>
    <t>Капітальний ремонт дитячих майданчиків</t>
  </si>
  <si>
    <t>2020-2021</t>
  </si>
  <si>
    <t>2020-2022</t>
  </si>
  <si>
    <t>так</t>
  </si>
  <si>
    <t>4510160</t>
  </si>
  <si>
    <t>Керівництво і управління у сфері повноважень делегованих Львівською міською радою на території району</t>
  </si>
  <si>
    <t>1, 2</t>
  </si>
  <si>
    <t>Гарантії</t>
  </si>
  <si>
    <t>Придбання предметів довготривалого користування УДЮМК</t>
  </si>
  <si>
    <t>Керівництво і управління у сфері молодіжної політики</t>
  </si>
  <si>
    <t xml:space="preserve">Будівництво інших об'єктів комунальної власності </t>
  </si>
  <si>
    <t>Реконструкція приміщень УДЮМК (Франківського району) на вул. Науковій, 29</t>
  </si>
  <si>
    <t>Проектування, реставрація та охорона пам'яток архітектури</t>
  </si>
  <si>
    <t>Ремонтно-реставраційні роботи приміщень УДЮМК Галицького району на вул. І. Огієнка, 18</t>
  </si>
  <si>
    <t>1040</t>
  </si>
  <si>
    <t>Утримання клубів для підлітків за місцем проживання</t>
  </si>
  <si>
    <t>1117323</t>
  </si>
  <si>
    <t>Капітальний ремонт приміщень УДЮМК</t>
  </si>
  <si>
    <t>Внески до статутного капіталу ЛКП "Культурно-освітній центр ім. О. Довженка" (молодіжний центр розвитку)</t>
  </si>
  <si>
    <t>Керівництво і управління у справах дітей</t>
  </si>
  <si>
    <t>Забезпечення належних умов для виховання та розвитку дітей-сиріт і дітей, позбавлених батьківського піклування, в дитячих будинках</t>
  </si>
  <si>
    <t>Придбання предметів довгострокового користування для ДБСТ</t>
  </si>
  <si>
    <t>Забезпечення діяльності інших закладів у сфері соціального захисту і соціального забезпечення</t>
  </si>
  <si>
    <t>0910160</t>
  </si>
  <si>
    <t>0911024</t>
  </si>
  <si>
    <t>0913241</t>
  </si>
  <si>
    <t>1024</t>
  </si>
  <si>
    <t>3241</t>
  </si>
  <si>
    <t>0910</t>
  </si>
  <si>
    <t>1090</t>
  </si>
  <si>
    <t>2218230</t>
  </si>
  <si>
    <t>Відеонагляд та освітлення прибудинкової території ОСББ "Магнолія-Сихів" (придбання обладнання)</t>
  </si>
  <si>
    <t>0817340</t>
  </si>
  <si>
    <t>7340</t>
  </si>
  <si>
    <t xml:space="preserve"> Будівництво установ та закладів соціальної сфери</t>
  </si>
  <si>
    <t>Капітальний ремонт приміщень Центру соціальної підтримки осіб з числа дітей-сиріт та дітей, позбавлених батьківського піклування і внутрішньо переміщених осіб з облаштуванням пункту охорони та огорожі сходів в індивідуальний тепловий пункт</t>
  </si>
  <si>
    <t>0817330</t>
  </si>
  <si>
    <t>0816082</t>
  </si>
  <si>
    <t>6082</t>
  </si>
  <si>
    <t>0610</t>
  </si>
  <si>
    <t>Придбання житла для окремих категорій населення відповідно до законодавства</t>
  </si>
  <si>
    <t>Придбання житла для учасників антитерористичної операції та родин Героїв Небесної Сотні на умовах співфінансування</t>
  </si>
  <si>
    <t>0813031</t>
  </si>
  <si>
    <t>3031</t>
  </si>
  <si>
    <t>1030</t>
  </si>
  <si>
    <t xml:space="preserve">Надання інших пільг окремим категоріям громадян
відповідно до законодавства </t>
  </si>
  <si>
    <t>Проведення безоплатного капітального ремонту власних житлових будинків і квартир осіб, що мають право на таку пільгу</t>
  </si>
  <si>
    <t>0810160</t>
  </si>
  <si>
    <t>Керівництво і управління у сфері соціального захисту населення</t>
  </si>
  <si>
    <t>0813121</t>
  </si>
  <si>
    <t>3121</t>
  </si>
  <si>
    <t>Придбання обладнання і предметів довгострокового користування для Львівського міського центру соціальних служб для сім'ї, дітей та молоді</t>
  </si>
  <si>
    <t>0813241</t>
  </si>
  <si>
    <t xml:space="preserve">Забезпечення діяльності інших закладів у сфері соціального захисту і соціального забезпечення </t>
  </si>
  <si>
    <t xml:space="preserve">Придбання обладнання і предметів довгострокового користування для Центр обліку та нічного перебування бездомних осіб </t>
  </si>
  <si>
    <t xml:space="preserve">Придбання обладнання і предметів довгострокового користування для Центру соціальної підтримки осіб з числа дітей-сиріт та дітей, позбавлених батьківського піклування і внутрішньо переміщених осіб </t>
  </si>
  <si>
    <t>0813242</t>
  </si>
  <si>
    <t>3242</t>
  </si>
  <si>
    <t>Інші заходи у сфері соціального захисту і соціального забезпечення</t>
  </si>
  <si>
    <t>Придбання акумуляторного сходолазу для крісел колісних</t>
  </si>
  <si>
    <t>Капітальний ремонт приміщень цокольного поверху будівлі Комунального закладу "Соціальний готель"</t>
  </si>
  <si>
    <t>2021-2022</t>
  </si>
  <si>
    <t>Виготовлення проектно-кошторисної документації та капітальний ремонт приміщень для Львівського міського центру соціальних служб для сім`ї, дітей та молоді м. Львів, вул. А. Лінкольна, 57</t>
  </si>
  <si>
    <t>Капітальний ремонт приміщень із заміною дверей у Франківському відділі соціального захисту вул. Генерала Т. Чупринки, 85</t>
  </si>
  <si>
    <t>4116030</t>
  </si>
  <si>
    <t>Реконструкція фонтану "Кульбаба" на пл. Галицькій у м. Львові (коригування)</t>
  </si>
  <si>
    <t>4117310</t>
  </si>
  <si>
    <t>4110160</t>
  </si>
  <si>
    <t>Керівництво і управління у сфері повноважень, делегованих Львівською міською радою на території району</t>
  </si>
  <si>
    <t>4117330</t>
  </si>
  <si>
    <t>Капітальний ремонт приміщень у будівлі районної адміністрації</t>
  </si>
  <si>
    <t>Придбання лавок на просп. Свободи у м. Львові</t>
  </si>
  <si>
    <t>Капітальний ремонт приміщень хірургії вроджених вад розвитку у дітей КНП "Міська дитяча клінічна лікарня м. Львова" на вул. Пилипа Орлика, 4</t>
  </si>
  <si>
    <t>Вдосконалення системи вуличного відеоспостереження у м. Винники (придбання обладнання)</t>
  </si>
  <si>
    <t>Облаштування вуличного кінотеатру у сквері ім. І. Берези на вул. І. Миколайчука у м. Львові (капітальний ремонт)</t>
  </si>
  <si>
    <t>Капітальний ремонт центральної пішохідної алеї на просп. Свободи у м. Львові</t>
  </si>
  <si>
    <t>2018-2021</t>
  </si>
  <si>
    <t>2019-2021</t>
  </si>
  <si>
    <t>4517330</t>
  </si>
  <si>
    <t>Придбання предметів та обладнання довгострокового користування для АКОРД (Акустичне Концертне Оформлення дарує Радість Дітям)</t>
  </si>
  <si>
    <t>Капітальний ремонт приміщень бібліотеки-філії № 17 на вул. Городоцькій, 285</t>
  </si>
  <si>
    <t>Капітальний ремонт бібліотеки-філії № 43 ЦБС для дорослих на вул. Стрийській, 79</t>
  </si>
  <si>
    <t>2018-2022</t>
  </si>
  <si>
    <t>2019-2023</t>
  </si>
  <si>
    <t>Керівництво і управління у сфері культури</t>
  </si>
  <si>
    <t>0824</t>
  </si>
  <si>
    <t>Забезпечення діяльності бібліотек</t>
  </si>
  <si>
    <t>0822</t>
  </si>
  <si>
    <t>Фінансова підтримка філармоній, художніх і музичних колективів, ансамблів, концертних та циркових організацій</t>
  </si>
  <si>
    <t>Придбання обладнання та предметів довгострокового користування для Львівського будинку органної та камерної музики</t>
  </si>
  <si>
    <t>Забезпечення діяльності музеїв і виставок</t>
  </si>
  <si>
    <t xml:space="preserve">Придбання обладнання та предметів довгострокового користування для Музично-меморіального музею Соломії Крушельницької </t>
  </si>
  <si>
    <t>Придбання обладнання та предметів довгострокового користування для Музею народної архітектури та побуту у Львові імені Климентія Шептицького</t>
  </si>
  <si>
    <t xml:space="preserve">Придбання обладнання та предметів довгострокового користування для Меморіального музею Гідності </t>
  </si>
  <si>
    <t>Будівництво Інформаційно-освітнього центру на території Музею народної архітектури та побуту у Львові імені Климентія Шептицького на вул. Чернеча Гора, 1</t>
  </si>
  <si>
    <t>2016-2022</t>
  </si>
  <si>
    <t>2017-2022</t>
  </si>
  <si>
    <t>2021-2023</t>
  </si>
  <si>
    <t>Реставрація експонатів Музею народної архітектури та побуту у Львові ім. Климентія Шептицького на вул. Чернеча Гора, 1</t>
  </si>
  <si>
    <t>Капітальний ремонт з заміною електричного силового кабелю на території Музею народної архітектури та побуту у Львові імені Климентія Шептицького на вул. Чернеча Гора, 1</t>
  </si>
  <si>
    <t>Придбання обладнання та предметів довгострокового користування для Львівського муніципального хору "Гомін"</t>
  </si>
  <si>
    <t>0821</t>
  </si>
  <si>
    <t>Фінансова підтримка театрів</t>
  </si>
  <si>
    <t xml:space="preserve">Придбання обладнання та реквізиту для театрів </t>
  </si>
  <si>
    <t>Капітальний ремонт бібліотеки-філії № 31 на вул. Т. Шевченка, 270-А</t>
  </si>
  <si>
    <t>Реконструкція приміщень ЦБС для дорослих на просп. Червоної Калини, 58</t>
  </si>
  <si>
    <t>Реставраційно-ремонтні роботи Міського палацу культури ім. Г. Хоткевича на вул. С. Кушевича, 1</t>
  </si>
  <si>
    <t>Придбання обладнання та предметів довгострокового користування для Львівської дитячої художньої школи ім. О. Новаківського</t>
  </si>
  <si>
    <t>Капітальний ремонт водостічної системи Меморіального музею тоталітарних режимів "Територія терору" на просп. В. Чорновола, 45-Г</t>
  </si>
  <si>
    <t>Капітальний ремонт будівлі Львівської державної дитячої музичної школи № 1 ім. А. Кос-Анатольського на вул. Академіка В. Гнатюка, 5/7</t>
  </si>
  <si>
    <t>Програма розвитку пластового руху та Львівської міської молодіжної громадської організації "Станиця Львів Пласту - Національної скаутської організації"</t>
  </si>
  <si>
    <t xml:space="preserve">Придбання обладнання та предметів довгострокового користування для Міського палацу культури імені Г. Хоткевича </t>
  </si>
  <si>
    <t>Виконання міської програми технічної експертизи, модернізації, ремонту, заміни та диспетчеризації ліфтів у житлових будинках та закладах охорони здоров'я м. Львова на період 2017-2023 років</t>
  </si>
  <si>
    <t>1110160</t>
  </si>
  <si>
    <t>Керівництво і управління у сфері спорту</t>
  </si>
  <si>
    <t>1115031</t>
  </si>
  <si>
    <t>5031</t>
  </si>
  <si>
    <t>0810</t>
  </si>
  <si>
    <t>Утримання та навчально-тренувальна робота комунальних дитячо-юнацьких спортивних шкіл</t>
  </si>
  <si>
    <t>1115041</t>
  </si>
  <si>
    <t>5041</t>
  </si>
  <si>
    <t>Утримання та фінансова підтримка спортивних споруд</t>
  </si>
  <si>
    <t>Будівництво спортивного майданчика за адресою: вул. І. Величковського, 16-18 в м. Львові</t>
  </si>
  <si>
    <t>Капітальний ремонт майданчиків ЛКП "Спортресурс"</t>
  </si>
  <si>
    <t>2019-2020</t>
  </si>
  <si>
    <t>Будівництво дитячих, дитячо-спортивних та спортивних майданчиків</t>
  </si>
  <si>
    <t>Реконструкція спортзалу ДЮСШ № 3</t>
  </si>
  <si>
    <t>Капітальний ремонт приміщень ДЮСШ</t>
  </si>
  <si>
    <t>2021-2024</t>
  </si>
  <si>
    <t>1117340</t>
  </si>
  <si>
    <t>Ремонтно-реставраційні роботи приміщення ЛДЮСШОР № 2 Львівської міської ради Львівської області на вул. Руській, 20</t>
  </si>
  <si>
    <t>4317310</t>
  </si>
  <si>
    <t>2020-2023</t>
  </si>
  <si>
    <t>Виконання Міської програми технічної експертизи, модернізації, ремонту, заміни та диспетчеризації ліфтів у житлових будинках та закладах охорони здоров'я м. Львова на період 2017-2023 років</t>
  </si>
  <si>
    <t xml:space="preserve">Капітальний ремонт дитячих майданчиків </t>
  </si>
  <si>
    <t>Капітальний ремонт доріг та тротуарів, дворів, внутрішньоквартальних доріг та тротуарів</t>
  </si>
  <si>
    <t>4417330</t>
  </si>
  <si>
    <t>Капітальний ремонт доріг та тротуарів</t>
  </si>
  <si>
    <t>1,2,3</t>
  </si>
  <si>
    <t>4610160</t>
  </si>
  <si>
    <t>4617330</t>
  </si>
  <si>
    <t>Капітальний ремонт будівлі на просп. Червоної Калини, 66 (утеплення фасаду)</t>
  </si>
  <si>
    <t>Капітальний ремонт дворів, внутрішньоквартальних доріг та тротуарів</t>
  </si>
  <si>
    <t>2019-2022</t>
  </si>
  <si>
    <t>0611021</t>
  </si>
  <si>
    <t>1021</t>
  </si>
  <si>
    <t>0921</t>
  </si>
  <si>
    <t>Надання загальної середньої освіти закладами загальної середньої освіти</t>
  </si>
  <si>
    <t>0617321</t>
  </si>
  <si>
    <t>Будівництво освітніх установ та закладів</t>
  </si>
  <si>
    <t>Капітальний ремонт майданчика для дітей в ЗДО № 25 на вул. Листопадового Чину, 26</t>
  </si>
  <si>
    <t>Капітальний ремонт території СЗШ № 67 на вул. Сяйво, 18</t>
  </si>
  <si>
    <t>Придбання обладнання і предметів довгострокового користування СЗШ № 67 на вул. Сяйво, 18</t>
  </si>
  <si>
    <t>Капітальний ремонт території СЗШ № 77 на вул. І. Виговського, 7-А</t>
  </si>
  <si>
    <t>Придбання обладнання і предметів довгострокового користування ліцею № 15 Львівської міської ради на вул. Є. Патона, 7</t>
  </si>
  <si>
    <t xml:space="preserve">Придбання обладнання і предметів довгострокового користування для ліцею № 75 імені Лесі Українки Львівської міської ради на вул. В. Караджича, 7 </t>
  </si>
  <si>
    <t>Придбання обладнання і предметів довгострокового користування для СЗШ № 65 на вул. Роксоляни, 35</t>
  </si>
  <si>
    <t>Капітальний ремонт інтерактивної лабораторії у СЗШ № 7 на вул. Б. Хмельницького,132</t>
  </si>
  <si>
    <t>Капітальний ремонт території у СЗШ № 42 на вул. Каштановій, 9</t>
  </si>
  <si>
    <t>Капітальний ремонт дитячого майданчика у ЗДО "Барвінок" на вул. П. Шафарика, 15</t>
  </si>
  <si>
    <t>Капітальний ремонт території СЗШ № 63 на вул. Личаківській, 177</t>
  </si>
  <si>
    <t>Капітальний ремонт території ЗДО "Веселка" на вул. Китайській, 6-А</t>
  </si>
  <si>
    <t>Капітальний ремонт території внутрішнього дворику ліцею "Інтелект" на вул. Запорізькій, 20</t>
  </si>
  <si>
    <t>Капітальний ремонт благоустрою території НВК "Школи гімназії Шептицьких" на вул. Г. Хоткевича, 16</t>
  </si>
  <si>
    <t>Придбання обладнання та предметів довгострокового користування з метою влаштування сучасної інтерактивної мобільної лабораторії "Лабораторія покоління Альфа" у ліцеї ім. І. Пулюя на вул. І. Пулюя, 16</t>
  </si>
  <si>
    <t>Капітальний ремонт харчоблоку СЗШ№ 36 на вул. Володимира Великого, 55-Б</t>
  </si>
  <si>
    <t>0611010</t>
  </si>
  <si>
    <t>1010</t>
  </si>
  <si>
    <t>Надання дошкільної освіти</t>
  </si>
  <si>
    <t>Капітальний ремонт спортивного майданчика СЗШ № 31 на вул. Княгині Ольги, 104</t>
  </si>
  <si>
    <t>Придбання обладнання та предметів довгострокового користування з метою облаштування харчоблоку для початкової школи "Джерельце" на вул. Академіка А. Сахарова, 80</t>
  </si>
  <si>
    <t>Капітальний ремонт приміщення їдальні у СЗШ № 99 на вул. Творчій, 1</t>
  </si>
  <si>
    <t>Придбання обладнання і предметів довгострокового користування для їдальні у СЗШ № 99 на вул. Творчій, 1</t>
  </si>
  <si>
    <t>Капітальний ремонт приміщення СЗШ № 22 ім. Василя Стефаника на вул. Хімічній, 7</t>
  </si>
  <si>
    <t xml:space="preserve">Придбання обладнання і предметів довгострокового користування для СЗШ № 22 ім. Василя Стефаника на вул. Хімічній, 7 
</t>
  </si>
  <si>
    <t>Придбання обладнання і предметів довгострокового користування для харчоблоку СЗШ № 91 на вул. Варшавській, 58</t>
  </si>
  <si>
    <t>Капітальний ремонт медіалабораторії у СЗШ № 29 на вул. В. Сухомлинського, 6 у м. Винники</t>
  </si>
  <si>
    <t>Капітальний ремонт території у ліцеї № 2 ЛМР на вул. Володимира Великого, 55-А та СЗШ № 36 на вул. Володимира Великого, 55-Б</t>
  </si>
  <si>
    <t>Капітальний ремонт спортзалу у СЗШ № 1 на вул. К. Трильовського, 17</t>
  </si>
  <si>
    <t>Виконання міської програми забезпечення доступності житлових приміщень осіб з інвалідністю у кріслах та осіб з інвалідністю з порушенням зору 1 групи</t>
  </si>
  <si>
    <t>4210160</t>
  </si>
  <si>
    <t>Капітальний ремонт відділення кардіохірургії та трансплантації серця КНП "Клінічна лікарня швидкої медичної допомоги м. Львова" на вул. І. Миколайчука, 9</t>
  </si>
  <si>
    <t>Капітальний ремонт приміщень під облаштування Інсультного центру КНП "Клінічна лікарня швидкої медичної допомоги м. Львова" на вул. І. Миколайчука, 9</t>
  </si>
  <si>
    <t xml:space="preserve">Реконструкція внутрішніх інженерних мереж ізоляційно-діагностичного корпусу Комунальної міської дитячої клінічної лікарні на вул. Пилипа Орлика, 4 у м. Львові. Корегування </t>
  </si>
  <si>
    <t>0712080</t>
  </si>
  <si>
    <t>0721</t>
  </si>
  <si>
    <t>Амбулаторно-поліклінічна допомога населенню, крім первинної медичної допомоги</t>
  </si>
  <si>
    <t>0710160</t>
  </si>
  <si>
    <t>Керівництво і управління у сфері охорони здоров’я</t>
  </si>
  <si>
    <t>Капітальний ремонт приміщень під створення кабінету комп’ютерної томографії у складі відділення невідкладної допомоги КНП "Клінічна лікарня швидкої медичної допомоги м. Львова" на вул. І. Миколайчука, 9</t>
  </si>
  <si>
    <t xml:space="preserve">Керівництво і управління у сфері житлово-комунального господарства </t>
  </si>
  <si>
    <t>Реконструкція мереж зовнішнього освітлення</t>
  </si>
  <si>
    <t>Капітальний ремонт зовнішнього освітлення пішохідних переходів</t>
  </si>
  <si>
    <t>Будівництво світлофорних об'єктів</t>
  </si>
  <si>
    <t>Капітальний ремонт доріг та тротуарів на цвинтарях</t>
  </si>
  <si>
    <t>Реконструкція вул. Пилипа Орлика</t>
  </si>
  <si>
    <t>Реконструкція вул. І. Миколайчука (від вул. Пилипа Орлика до в'їзду на Голосківський цвинтар)</t>
  </si>
  <si>
    <t>Реконструкція вул. Трускавецької (від вул. І. Пулюя до вул. Княгині Ольги)</t>
  </si>
  <si>
    <t>Реконструкція вул. Конюшинної на ділянці від вул. Тернової до вул. Збиральної</t>
  </si>
  <si>
    <t>Реконструкція вул. Конюшинної на ділянці від вул. Збиральної до межі міста</t>
  </si>
  <si>
    <t>1, 2, 3</t>
  </si>
  <si>
    <t xml:space="preserve">Реконструкція електромереж житлового фонду </t>
  </si>
  <si>
    <t xml:space="preserve">Капітальний ремонт житлового фонду </t>
  </si>
  <si>
    <t>Капітальний ремонт житлових будинків, визнаних аварійними, що загрожують обвалом</t>
  </si>
  <si>
    <t>1217340</t>
  </si>
  <si>
    <t xml:space="preserve">Реставрація житлового фонду </t>
  </si>
  <si>
    <t>1216082</t>
  </si>
  <si>
    <t xml:space="preserve">Придбання житла для окремих категорій населення відповідно до законодавства </t>
  </si>
  <si>
    <t>Придбання житла для відселення мешканців з аварійного, що загрожує обвалом, будинку на вул. Колодійській, 16</t>
  </si>
  <si>
    <t xml:space="preserve">Внески до статутного капіталу ЛКП "Рембуд" </t>
  </si>
  <si>
    <t xml:space="preserve">Внески до статутного капіталу ЛКП "Львіврембудпостач" </t>
  </si>
  <si>
    <t>Капітальний ремонт території між вул. В. Винниченка і оборонним муром ансамблю Бернардинів</t>
  </si>
  <si>
    <t>1817340</t>
  </si>
  <si>
    <t>Реставрація та консервація руїн Високого Замку</t>
  </si>
  <si>
    <t>Реставраційно-ремонтні роботи фасадів пам’ятки архітектури місцевого значення-будинку колишнього страхового товариства “Дністер” на вул. Руській, 20, охоронний № 250</t>
  </si>
  <si>
    <t xml:space="preserve">Реставрація еркерів та балконів будинку-пам’ятки архітектури місцевого значення на пл. Галицькій, 7, охоронний № 878 </t>
  </si>
  <si>
    <t>Ремонтно-реставраційні роботи будинку пам'ятки архітектури на просп. Свободи, 24 (охоронний № 986)</t>
  </si>
  <si>
    <t>Реставраційно-ремонтні роботи пам'ятки архітектури національного значення - костелу Єзуїтів на вул. Театральній, 11, охоронний № 130028-Н</t>
  </si>
  <si>
    <t>Ремонтно-реставраційні роботи головного фасаду будинку-пам'ятки архітектури національного значення на пл. Ринок, 7, охоронний № 326/6</t>
  </si>
  <si>
    <t>Реставраційно-ремонтні роботи вхідного вузла з портиком та південної тераси пам'ятки архітектури національного значення - палацу на вул. М. Коперника, 15, охоронний № 1310</t>
  </si>
  <si>
    <t>Ремонтно-реставраційні роботи фасадів будинку-пам'ятки архітектури національного значення на вул. Вірменській, 21 (вул. Друкарська, 6), охоронний № 1255</t>
  </si>
  <si>
    <t>Реставраційно-ремонтні роботи даху пам'ятки архітектури місцевого значення - колишніх келій костелу Францисканок на вул. М. Лисенка, 45 (43) (охоронний № 1625)</t>
  </si>
  <si>
    <t>Ремонтно-реставраційні роботи головного фасаду будинку-пам'ятки архітектури місцевого значення на вул. П. Дорошенка, 19, охоронний № 94</t>
  </si>
  <si>
    <t>Ремонтно-реставраційні роботи головного фасаду будинку-пам'ятки архітектури місцевого значення на вул. Генерала Т. Чупринки, 6 охоронний № 1009</t>
  </si>
  <si>
    <t>Реставрація балконів будинку-пам’ятки архітектури місцевого значення на пл. Генерала Г. Григоренка, 2, 4, охоронний № 765</t>
  </si>
  <si>
    <t>Ремонтно-реставраційні роботи головного фасаду будинку-пам'ятки архітектури місцевого значення на вул. І. Франка, 43 охоронний № 1060</t>
  </si>
  <si>
    <t xml:space="preserve">Реставрація балконів будинку-пам’ятки архітектури місцевого значення на вул. О. Кониського, 6, охоронний № 2130 </t>
  </si>
  <si>
    <t>Ремонтно-реставраційні роботи головного фасаду будинку-пам'ятки архітектури національного значення на пл. Ринок, 5, охоронний № 326/4</t>
  </si>
  <si>
    <t>Ремонтно-реставраційні роботи балконів головного фасаду будинку пам’ятки архітектури місцевого значення на просп. Т. Шевченка, 14 (охоронний № 403)</t>
  </si>
  <si>
    <t>Ремонтно-реставраційні роботи балконів головного фасаду будинку пам’ятки архітектури місцевого значення на просп. Т. Шевченка, 16 (охоронний № 404)</t>
  </si>
  <si>
    <t>Ремонтно-реставраційні роботи будинку-пам'ятки архітектури на просп. Т. Шевченка, 23</t>
  </si>
  <si>
    <t>Реставраційно-ремонтні роботи колишнього костелу св. Миколая пам'ятки архітектури національного значення на вул. М. Грушевського, 2 (охоронний № 349)</t>
  </si>
  <si>
    <t>Ремонтно-реставраційні роботи костелу Домініканців з келіями (костьол Домініканців з келіями) на пл. Музейній, 3</t>
  </si>
  <si>
    <t>Ремонтно-реставраційні роботи будинку-пам'ятки архітектури національного значення - костелу св. Казимира на вул. М. Кривоноса, 1, охоронний № 1327</t>
  </si>
  <si>
    <t>Ремонтно-реставраційні роботи будинку на проспекті Свободи, 18 (вул. Театральна, 17)</t>
  </si>
  <si>
    <t>Ремонтно-реставраційні роботи приміщень пам'ятки архітектури місцевого значення - колишніх келій костелу Казимира на вул. М. Кривоноса, 1, охоронний № 139</t>
  </si>
  <si>
    <t>1817310</t>
  </si>
  <si>
    <t>Облаштування місця пам'яті поховань на території Старого єврейського цвинтаря між вул. Базарною і вул. Клепарівською у м. Львові</t>
  </si>
  <si>
    <t xml:space="preserve">Виконання Програми проведення ремонтно-реставраційних робіт балконів будинків пам’яток культурної спадщини на території міста Львова </t>
  </si>
  <si>
    <t>Внески до статутного капіталу ЛКП "Музей "Личаківський цвинтар"</t>
  </si>
  <si>
    <t>Внески до статутного капіталу ЛКП "Бюро спадщини"</t>
  </si>
  <si>
    <t>1810160</t>
  </si>
  <si>
    <t>Керівництво і управління у сфері охорони культурної спадщини</t>
  </si>
  <si>
    <t>Капітальний ремонт дзвіниці храму Покрови Пресвятої Богородиці на вул. Личаківській, 175</t>
  </si>
  <si>
    <t>Ремонтно-реставраційні роботи огорожі з брамою та офіцинами для сторожі палацу на вул. М. Коперника, 15 пам’ятки архітектури національного значення, охоронний № 1310</t>
  </si>
  <si>
    <t>Ремонтно-реставраційні роботи житлового будинку-пам'ятки архітектури місцевого значення на вул. Личаківській, 1, охоронний № 616</t>
  </si>
  <si>
    <t>Реставраційно-ремонтні роботи будинку-пам'ятки архітектури на вул. Б. Хмельницького, 11, охоронний № 360</t>
  </si>
  <si>
    <t>Ремонтно-реставраційні роботи будинку на пл. Ринок, 42 пам'ятки архітектури національного значення, охоронний № 326/39</t>
  </si>
  <si>
    <t>Капітальний ремонт історичної огорожі з брамою храму св. Климентія Папи на вул. Генерала Т. Чупринки, 70</t>
  </si>
  <si>
    <t>так/ні</t>
  </si>
  <si>
    <t>7321</t>
  </si>
  <si>
    <t>1 - виконані у 2020, але не оплачені</t>
  </si>
  <si>
    <t>Проведення невідкладних аварійно-відновлювальних робіт з виведення з аварійного стану окремих конструкційних елементів даху і фасаду СЗШ № 62 на вул. Театральній, 15 (ремонтно-реставраційні роботи)</t>
  </si>
  <si>
    <t>аварійні (висновок ТЕБ і НС)</t>
  </si>
  <si>
    <t>Капітальний ремонт басейну у СЗШ № 86 на вул. Фр. Скорини, 34</t>
  </si>
  <si>
    <t>Капітальний ремонт басейну у СЗШ № 72 на вул. Зубрівській, 1</t>
  </si>
  <si>
    <t>Капітальний ремонт басейну СЗШ I-III ст. № 29 на вул. В. Сухомлинського, 6 у м. Винники</t>
  </si>
  <si>
    <t>Капітальний ремонт приміщень з метою відновлення ДНЗ ПЗ "Будинок школярів" на вул. Б. Грінченка, 4-А</t>
  </si>
  <si>
    <t>Ремонтно-реставраційні роботи з метою відновлення функціонування дошкільного навчального закладу на вул. Сяйво, 16 у м. Львові</t>
  </si>
  <si>
    <t>Капітальний ремонт приміщень ЗДО № 31 на вул. П. Панча, 16</t>
  </si>
  <si>
    <t>Реконструкція дошкільного навчального закладу на вул. Медової Печери, 13 у м. Львові</t>
  </si>
  <si>
    <t>Капітальний ремонт із заміною вікон у закладах дошкільної освіти</t>
  </si>
  <si>
    <t>Капітальний ремонт із заміною вікон у закладах загальної середньої освіти</t>
  </si>
  <si>
    <t>Капітальний ремонт із заміною вікон у закладах позашкільної освіти</t>
  </si>
  <si>
    <t>Капітальний ремонт території СЗШ № 53 на просп. В. Чорновола, 6 та СЗШ № 87 на вул. Замарстинівській, 11 (І черга)</t>
  </si>
  <si>
    <t>Реконструкція з добудовою НВК "Школа-садок "Провесінь" на вул. Тракт Глинянський, 151-Б</t>
  </si>
  <si>
    <t>Капітальний ремонт приміщень центру професійного розвитку педагогічних працівників м. Львова на пл. Данила Галицького, 4</t>
  </si>
  <si>
    <t>Капітальний ремонт приміщень у Львівській академічній гімназії при НУ "Львівська політехніка" на вул. С. Бандери, 14 у м. Львові</t>
  </si>
  <si>
    <t>Реконструкція території з облаштуванням доріжок у ліцеї "Галицький" на вул. Замковій, 4 у м. Львові</t>
  </si>
  <si>
    <t>Ремонтно-реставраційні роботи пам'ятки архітектури місцевого значення ЗЗСО № 87 імені Ірини Калинець Львівської міської ради на вул. Замарстинівській, 11 (ох. № 2119)</t>
  </si>
  <si>
    <t>Капітальний ремонт огорожі у ліцеї № 6 ЛМР на вул. Зеленій, 22</t>
  </si>
  <si>
    <t>Капітальний ремонт конструктивних елементів, водопостачання та водовідведення будівлі ЗДО № 92 на вул. Карпатській, 12</t>
  </si>
  <si>
    <t>Капітальний ремонт будівлі СЗШ № 33 на вул. Т. Шевченка, 34</t>
  </si>
  <si>
    <t>Капітальний ремонт сходів СЗШ № 33 на вул. Т. Шевченка, 34 (в т. ч. виготовлення ПКД та експертиза проекту)</t>
  </si>
  <si>
    <t>Капітальний ремонт огорожі СЗШ № 44 ім. Т. Шевченка на вул. Я. Пстрака, 1</t>
  </si>
  <si>
    <t>Капітальний ремонт фасаду ПШ № 53 на просп. В. Чорновола, 6</t>
  </si>
  <si>
    <t>приміщення під ІРЦ</t>
  </si>
  <si>
    <t>Капітальний ремонт будівлі СЗШ № 78 на вул. Замарстинівській, 132</t>
  </si>
  <si>
    <t>Капітальний ремонт будівлі ЛУГГ на вул. Олени Степанівни, 13</t>
  </si>
  <si>
    <t>Капітальний ремонт електромережі у ДНЗ на вул. Д. Чижевського, 43</t>
  </si>
  <si>
    <t>Влаштування індивідуального теплового пункту (ІТП) ДНЗ № 102 на вул. Медової Печери, 13</t>
  </si>
  <si>
    <t>Капітальний ремонт ЗДО (ясла-садок) № 29 ЛМР на вул. П. Чайковського, 22</t>
  </si>
  <si>
    <t>Капітальний ремонт горища будівлі ЦДЮТ Залізничного району на вул. Є. Олесницького, 2</t>
  </si>
  <si>
    <t>Капітальний ремонт фасаду ЗДО на вул. Є. Олесницького, 2</t>
  </si>
  <si>
    <t>Капітальний ремонт приміщень ЗДО (ясла-садок) компенсуючого типу "Веселка" Львівської міської ради на вул. Китайській, 6-А</t>
  </si>
  <si>
    <t>Капітальний ремонт будівлі ЦДЮТ Залізничного району на вул. Замкненій, 9</t>
  </si>
  <si>
    <t>Реконструкція системи опалення ДПЗОВ "Старт" у с. Коростів Сколівського району Львівської області</t>
  </si>
  <si>
    <t>Капітальний ремонт системи опалення СЗШ № 31 на вул. Княгині Ольги, 104 (в т. ч. виготовлення ПКД та проведення експертизи проекту)</t>
  </si>
  <si>
    <t>Реконструкція системи опалення з ліквідацією пічного опалення ЗДО № 3 на вул. Т. Копистинського, 14</t>
  </si>
  <si>
    <t>Капітальний ремонт системи опалення ліцею "Оріяна" Львівської міської ради на вул. В. Чукаріна, 3 (в т. ч. виготовлення ПКД та проведення експертизи проекту)</t>
  </si>
  <si>
    <t>Капітальний ремонт системи опалення ПШ "Дзвіночок" на вул. М. Некрасова, 31 (в т. ч. виготовлення ПКД та проведення експертизи проекту)</t>
  </si>
  <si>
    <t>Капітальний ремонт системи опалення СЗШ I-III ст. № 29 на вул. В. Сухомлинського, 6 у м. Винники (в т. ч. виготовлення ПКД та проведення експертизи проекту)</t>
  </si>
  <si>
    <t>Капітальний ремонт даху у ліцеї ім. В. Симоненка Львівської міської ради на вул. В. Симоненка, 6</t>
  </si>
  <si>
    <t>Капітальний ремонт покрівлі у Львівському економічному ліцеї на вул. М. Хвильового, 35</t>
  </si>
  <si>
    <t>Придбання обладнання і предметів довгострокового користування для ліцею № 46 ім. В. Чорновола ЛМР на вул. Науковій, 90 у м. Львові</t>
  </si>
  <si>
    <t>Придбання обладнання і предметів довгострокового користування для ЛДК СЗШ № 3 на вул. С. Бандери, 11 у м. Львові</t>
  </si>
  <si>
    <t>Придбання обладнання та предметів довготривалого користування для Львівського економічного ліцею на вул. М. Хвильового, 35</t>
  </si>
  <si>
    <t>Влаштування пожежної сигналізації у ліцеї "Просвіта" ЛМР на вул. Просвіти, 2/4 (ремонтно-реставраційні роботи)</t>
  </si>
  <si>
    <t>Влаштування пожежної сигналізації Львівського фізико-математичного ліцею на вул. В. Караджича, 29</t>
  </si>
  <si>
    <t>Влаштування пожежно-насосної ДНЗ № 102 на вул. Медової Печери, 13</t>
  </si>
  <si>
    <t>Ремонтно-реставраційні роботи санвузлів у ЗЗСО № 87 Львівської міської ради імені Ірини Калинець на вул. Замарстинівській, 11</t>
  </si>
  <si>
    <t>Ремонтно-реставраційні роботи санвузлів у Львівській середній загальноосвітній школі східних мов та східних бойових мистецтв "Будокан" з поглибленим вивченням іноземних мов на вул. В. Шухевича, 2</t>
  </si>
  <si>
    <t>Будівництво спортивного залу у СЗШ № 47 на вул. Галицькій, 54 у м. Винники</t>
  </si>
  <si>
    <t>Капітальний ремонт спортивного залу СЗШ № 17 на вул. А. Мельника, 1/3</t>
  </si>
  <si>
    <t>Капітальний ремонт спортивного залу СЗШ № 50 на вул. Т. Комаринця, 2 у м. Львові</t>
  </si>
  <si>
    <t>Ремонтно-реставраційні роботи спортзалу ЛСЗШ східних мов та східних бойових мистецтв "Будокан" з поглибленим вивченням іноземних мов на вул. В. Шухевича, 2 (в т. ч. виготовлення ПКД та проведення експертизи проекту)</t>
  </si>
  <si>
    <t>Будівництво Львівською середньою загальноосвітньою школою І-ІІІ ступенів № 7 Львівської міської ради спортзалу на вул. Б. Хмельницького, 132 у м. Львові</t>
  </si>
  <si>
    <t>Ремонтно-реставраційні роботи харчоблоку ЛСЗШ східних мов та східних бойових мистецтв "Будокан" з поглибленим вивченням іноземних мов на вул. В. Шухевича, 2</t>
  </si>
  <si>
    <t>Капітальний ремонт стадіону у ліцеї № 2 ЛМР на вул. Володимира Великого, 55-А та СЗШ № 36 на вул. Володимира Великого, 55-Б (в т. ч. виготовлення ПКД та проведення експертизи проекту)</t>
  </si>
  <si>
    <t>Капітальний ремонт спортивного майданчика у ЛДК СЗШ № 3 на вул. С. Бандери, 11</t>
  </si>
  <si>
    <t>Капітальний ремонт спортивного майданчика у Львівському фізико-математичному ліцеї при ЛНУ ім. І. Франка, на вул. В. Караджича, 29</t>
  </si>
  <si>
    <t>Капітальний ремонт спортивного майданчика у Львівському економічному ліцеї на вул. М. Хвильового, 35</t>
  </si>
  <si>
    <t>Капітальний ремонт спортивного майданчика середньої загальноосвітньої школи № 32 на вул. Я. Гашека, 13</t>
  </si>
  <si>
    <t>Капітальний ремонт спортивного майданчика НВК "Школи-гімназії блаженного Климентія та Андрея Шептицьких" на вул. Г. Хоткевича, 16</t>
  </si>
  <si>
    <t>Капітальний ремонт спортивного майданчика у СЗШ № 15 на вул. Є. Патона, 7</t>
  </si>
  <si>
    <t>Капітальний ремонт спортивного майданчика у СЗШ № 20 на вул. К. Скидана, 18</t>
  </si>
  <si>
    <t>Капітальний ремонт стадіону СЗШ № 23 на вул. Варшавській, 126</t>
  </si>
  <si>
    <t>Капітальний ремонт спортивного майданчика у гімназії "Престиж" на вул. Ветеранів, 11</t>
  </si>
  <si>
    <t>Придбання обладнання та предметів довгострокового користування для закладів дошкільної освіти Шевченківського та Залізничного районів</t>
  </si>
  <si>
    <t>Придбання обладнання та предметів довгострокового користування для закладів дошкільної освіти Сихівського та Личаківського районів</t>
  </si>
  <si>
    <t>Придбання обладнання та предметів довгострокового користування для закладів дошкільної освіти Галицького та Франківського районів</t>
  </si>
  <si>
    <t>Капітальний ремонт системи водовідведення ЗДО (ясла-садок) № 136 Львівської міської ради на вул. Каховській, 10</t>
  </si>
  <si>
    <t>Капітальний ремонт приміщень з метою відновлення функціонування дошкільного навчального закладу на вул. Д. Чижевського, 43</t>
  </si>
  <si>
    <t>Капітальний ремонт системи опалення ДНЗ № 1 на вул. Олени Степанівни, 48-А</t>
  </si>
  <si>
    <t>Капітальний ремонт із влаштуванням огорожі ДНЗ № 102 на вул. Медової Печери, 13</t>
  </si>
  <si>
    <t>Капітальний ремонт системи опалення ліцею № 46 ім. В. Чорновола ЛМР на вул. Науковій, 90</t>
  </si>
  <si>
    <t>Капітальний ремонт санвузлів у СЗШ № 63 на вул. Личаківській, 171</t>
  </si>
  <si>
    <t>Капітальний ремонт санвузлів у СЗШ № 99 на вул. Творчій, 1</t>
  </si>
  <si>
    <t>Придбання обладнання та предметів довгострокового користування для закладів загальної середньої освіти Сихівського та Личаківського районів</t>
  </si>
  <si>
    <t>Придбання обладнання та предметів довгострокового користування для закладів загальної середньої освіти Шевченківського та Залізничного районів</t>
  </si>
  <si>
    <t>Капітальний ремонт харчоблоку ЗЗСО І-ІІІ ст. № 54 на вул. М. Хвильового, 16</t>
  </si>
  <si>
    <t>Капітальний ремонт спортивного майданчика у ліцеї № 18 Львівської міської ради на вул. О. Кульчицької, 18</t>
  </si>
  <si>
    <t>Капітальний ремонт стадіону СЗШ № 54 на вул. М. Хвильового, 16</t>
  </si>
  <si>
    <t>Капітальний ремонт спортивного майданчика у СЗШ № 66 на вул. Науковій, 92</t>
  </si>
  <si>
    <t>Капітальний ремонт спортивного майданчика у СЗШ № 6 на вул. Зеленій, 22</t>
  </si>
  <si>
    <t>Капітальний ремонт спортивного майданчика у СЗШ № 97 на вул. І. Миколайчука, 18</t>
  </si>
  <si>
    <t>Капітальний ремонт підлоги у ліцеї № 21 Львівської міської ради на вул. О. Кониського, 8</t>
  </si>
  <si>
    <t>Капітальний ремонт вентиляційної системи Львівського фізико-математичного ліцею на вул. В. Караджича, 29</t>
  </si>
  <si>
    <t>Капітальний ремонт парапетної стіни у СЗШ № 23 на вул. Варшавській, 126</t>
  </si>
  <si>
    <t>Капітальний ремонт кафе-їдальні ліцею "Оріяна" Львівської міської ради на вул. В. Чукаріна, 3</t>
  </si>
  <si>
    <t>Капітальний ремонт харчоблоку СЗШ № 34 ім. М. Шашкевича на вул. Замкненій, 8</t>
  </si>
  <si>
    <t>Влаштування пожежної сигналізації у СЗШ № 63 на вул. Личаківській, 171 (капітальний ремонт)</t>
  </si>
  <si>
    <t>Капітальний ремонт спортивного майданчика у СЗШ № 92 на вул. Т. Шевченка, 390</t>
  </si>
  <si>
    <t>Капітальний ремонт вуличного електроосвітлення ліцею № 70 на вул. Дорога Кривчицька, 1</t>
  </si>
  <si>
    <t>Капітальний ремонт системи водовідведення та благоустрій території СЗШ № 7 на вул. Б. Хмельницького, 132</t>
  </si>
  <si>
    <t>Придбання обладнання і предметів довгострокового користування для СЗШ № 84 імені Блаженної Йосафати Гордашевської на вул. Зубрівській, 30 у рамках реалізації проектів "Привітна школа"</t>
  </si>
  <si>
    <t>Капітальний ремонт із заміною вікон у СЗШ № 65 на вул. Роксоляни, 35</t>
  </si>
  <si>
    <t>Капітальний ремонт покрівлі у ліцеї № 94 Львівської міської ради на вул. Т. Шевченка, 324</t>
  </si>
  <si>
    <t>Влаштування пожежної сигналізації у закладах дошкільної освіти ЗДО № 38, № 43</t>
  </si>
  <si>
    <t>Капітальний ремонт благоустрою території ДНЗ ПЗ "Будинок школярів" на вул. Б. Грінченка, 4-А (в т. ч. виготовлення ПКД і проведення експертизи)</t>
  </si>
  <si>
    <t>Капітальний ремонт приміщень ЦДЮТ Залізничного району на вул. Є. Олесницького, 2</t>
  </si>
  <si>
    <t>Капітальний ремонт санвузлів на третьому поверсі навчально-методичного центру освіти м. Львова на пл. Данила Галицького, 4</t>
  </si>
  <si>
    <t>Капітальний ремонт приміщень навчально-методичного центру освіти м. Львова на пл. Данила Галицького, 4</t>
  </si>
  <si>
    <t>Реконструкція внутрішньої території фізико-математичного ліцею на вул. В. Караджича, 29 у м. Львові із влаштуванням літнього віртуального класу</t>
  </si>
  <si>
    <t>Винос підвальної котельні, реконструкція системи опалення з підключенням системи опалення Львівської середньої загальноосвітньої школи східних мов І-ІІІ ступенів до мереж теплопостачання м. Львова на вул. В. Шухевича, 2, м. Львів</t>
  </si>
  <si>
    <t>Ремонтно-реставраційні роботи у ЛСЗШ східних мов та східних бойових мистецтв "Будокан" з поглибленим вивченням іноземних мов на вул. В. Шухевича, 2 у м. Львові з облаштуванням міжшкільної обсерваторії</t>
  </si>
  <si>
    <t>Придбання обладнання і предметів довгострокового користування для дитячого майданчика ЗШ "Дивосвіт" на вул. К. Трильовського, 24</t>
  </si>
  <si>
    <t>Капітальний ремонт огорожі СЗШ № 9 м. Львова на вул. М. Коперника, 40</t>
  </si>
  <si>
    <t>Капітальний ремонт огорожі навколо саду СЗШ № 34 ім. Маркіяна Шашкевича на вул. Замкненій, 8</t>
  </si>
  <si>
    <t>Капітальний ремонт їдальні ліцею № 46 ЛМР ім. В. Чорновола на вул. Науковій, 90</t>
  </si>
  <si>
    <t>Капітальний ремонт території з облаштування спортивного простору на території СЗШ № 30 на вул. Гетьмана І. Мазепи, 31</t>
  </si>
  <si>
    <t>Капітальний ремонт актового залу з облаштуванням інтерактивно-креативного простору у СЗШ № 99 на вул. Творчій, 1</t>
  </si>
  <si>
    <t>Капітальний ремонт спортивного майданчика СЗШ № 47 на вул. Галицькій, 54 в м. Винники</t>
  </si>
  <si>
    <t>Капітальний ремонт дитячого майданчика ЗШ "Дивосвіт" на вул. К. Трильовського, 24</t>
  </si>
  <si>
    <t>Капітальний ремонт їдальні СЗШ І-ІІІ ступенів № 29 м. Львова на вул. В. Сухомлинського, 6 в м. Винники</t>
  </si>
  <si>
    <t>Капітальний ремонт приміщень з облаштуванням кабінетів трудового навчання в СЗШ № 7 на вул. Б. Хмельницького, 132</t>
  </si>
  <si>
    <t>Капітальний ремонт приміщень з облаштуванням кабінетів трудового навчання в ліцеї "Інтелект" ЛМР на вул. Запорізькій, 20</t>
  </si>
  <si>
    <t>Капітальний ремонт західної стіни фасаду Класичної гімназії при Львівському національному університеті ім. І. Франка з утепленням стін з метою енергозбереження на вул. Пороховій, 3</t>
  </si>
  <si>
    <t>Придбання обладнання і предметів довгострокового користування для ліцею № 81 ім. П. Сагайдачного ЛМР на вул. Гетьмана І. Мазепи, 1-А</t>
  </si>
  <si>
    <t>Капітальний ремонт спортивного майданчика ПШ "Світанок" на вул. С. Петлюри, 43-А</t>
  </si>
  <si>
    <t>Капітальний ремонт обідньої зали у ЗСШ "Лідер" на вул. М. Некрасова, 59</t>
  </si>
  <si>
    <t>Капітальний ремонт тротуарних доріжок на території ліцею "Надія" ЛМР на вул. Науковій, 60</t>
  </si>
  <si>
    <t>Капітальний ремонт з встановленням огорожі ліцею ім. В. Симоненка ЛМР на вул. В. Симоненка, 6</t>
  </si>
  <si>
    <t>Капітальний ремонт з влаштуванням бруківки у внутрішньому дворику ліцею "Просвіта" ЛМР на вул. Просвіти, 2-4</t>
  </si>
  <si>
    <t>Капітальний ремонт із заміною вікон ЗСШ № 100 на вул. І. Величковського, 58</t>
  </si>
  <si>
    <t>Капітальний ремонт приміщень з метою відновлення ДНЗ на вул. Зубрівській, 9</t>
  </si>
  <si>
    <t>Капітальний ремонт системи водовідведення ДНЗ № 96 на вул. Клепарівській, 31-А (в т. ч. виготовлення ПКД та проведення експертизи)</t>
  </si>
  <si>
    <t>Капітальний ремонт з відновленням благоустрою території дошкільного навчального закладу на вул. Д. Чижевського, 43</t>
  </si>
  <si>
    <t>Капітальний ремонт водопроводу та каналізаційної мережі дошкільного навчального закладу на вул. Д. Чижевського, 43</t>
  </si>
  <si>
    <t>Капітальний ремонт підпірної стінки ЗДО (ясла-садок) № 96 ЛМР вул. Клепарівській, 31-А</t>
  </si>
  <si>
    <t>Капітальний ремонт благоустрою території з облаштуванням дренажної системи та відновленням підпірної стіни ЗДО № 96 на вул. Клепарівській, 31-А</t>
  </si>
  <si>
    <t>Капітальний ремонт актового залу ДНЗ № 96 на вул. Клепарівській, 31-А</t>
  </si>
  <si>
    <t>Капітальний ремонт електромережі у ЗДО № 180 "Леліточка" на вул. М. Грушевського, 56 у смт. Рудне</t>
  </si>
  <si>
    <t>Капітальний ремонт з відновленням благоустрою території ЦДЮТ Залізничного району на вул. Є. Олесницького, 2</t>
  </si>
  <si>
    <t>Капітальний ремонт із заміною огорожі дошкільного закладу на вул. Д. Чижевського, 43</t>
  </si>
  <si>
    <t>Капітальний ремонт спортивного майданчика у СЗШ № 57 на вул. Жовківській, 6</t>
  </si>
  <si>
    <t>Капітальний ремонт харчоблоку у Львівському фізико-математичному ліцеї на вул. В. Караджича, 29</t>
  </si>
  <si>
    <t>Капітальний ремонт приміщень спортзалу у СЗШ № 99 на вул. Творчій, 1</t>
  </si>
  <si>
    <t>Капітальний ремонт спортивного майданчика у СЗШ № 91 на вул. Варшавській, 58</t>
  </si>
  <si>
    <t>Капітальний ремонт приміщень ліцею № 38 Львівської міської ради на вул. Порічковій, 4-А</t>
  </si>
  <si>
    <t>Капітальний ремонт подвір'я гімназії "Євшан" на вул. Любінській, 93-А</t>
  </si>
  <si>
    <t>Капітальний ремонт приміщень навчальних кабінетів Львівського технологічного ліцею на вул. Таманській, 11</t>
  </si>
  <si>
    <t>Капітальний ремонт коридорів ліцею № 38 Львівської міської ради на вул. Порічковій, 4-А</t>
  </si>
  <si>
    <t>Капітальний ремонт системи опалення будівлі центру військово-патріотичного виховання ЦДЮТ Залізничного району на вул. Замкненій, 9</t>
  </si>
  <si>
    <t>Капітальний ремонт приміщень ЦДЮТ Залізничного району на вул. Замкненій, 9</t>
  </si>
  <si>
    <t>Капітальний ремонт санвузлів ЦДЮТ Залізничного району на вул. Замкненій, 9</t>
  </si>
  <si>
    <t>ДЖГІ</t>
  </si>
  <si>
    <t>Капітальний ремонт приміщення коридорів ліцею № 15 Львівської міської ради на вул. Є. Патона, 7</t>
  </si>
  <si>
    <t xml:space="preserve">Капітальний ремонт приміщення вестибюлю ліцею № 75 імені Лесі Українки Львівської міської ради на вул. В. Караджича, 7 </t>
  </si>
  <si>
    <t>Капітальний ремонт території внутрішнього дворику у СЗШ № 65 на вул. Роксоляни, 35</t>
  </si>
  <si>
    <t>Капітальний ремонт їдальні в ліцеї № 93 на вул. А. Кос-Анатольського, 10</t>
  </si>
  <si>
    <t>Придбання обладнання та предметів довгострокового користування для ЗДО № 37 ЛМР на вул. Княгині Ольги, 59-А</t>
  </si>
  <si>
    <t>Придбання ліжок-трансформерів для пологів у пологове відділення КНП "3-я міська клінічна лікарня м. Львова" на вул. Я. Раппапорта, 8</t>
  </si>
  <si>
    <t xml:space="preserve">Придбання автоматичного біохімічного аналізатора в лабораторію КНП "4-а міська клінічна лікарня м. Львова" </t>
  </si>
  <si>
    <t>2817310</t>
  </si>
  <si>
    <t>2816030</t>
  </si>
  <si>
    <t>Капітальний ремонт з облаштуванням сімейного простору на вул. Тракт Глинянський, 161-Г</t>
  </si>
  <si>
    <t>Закупівля з монтажем тренажерного обладнання на вул. І. Огієнка, вул. Т. Шевченка, вул. Незалежності, вул. Долинній у м. Винники</t>
  </si>
  <si>
    <t>Капітальний ремонт території із облаштуванням сучасного освітнього простору для початкової школи "Малюк" на вул. Володимира Великого, 41-А у м. Львові</t>
  </si>
  <si>
    <t>Придбання обладнання та предметів довгострокового користування КНП "Міська дитяча клінічна лікарня м. Львова"</t>
  </si>
  <si>
    <t>Придбання нейроонкологічного обладнання для відділення нейрохірургії КНП "Міська дитяча клінічна лікарня м. Львова"</t>
  </si>
  <si>
    <t>Капітальний ремонт нейрохірургічної операційної КНП "Міська дитяча клінічна лікарня м. Львова"</t>
  </si>
  <si>
    <t>Капітальний ремонт дворів, внутрішньоквартальних доріг та тротуарів на вул. О. Кульчицької, 18 (завершення центральної алеї скверу) у м. Львові</t>
  </si>
  <si>
    <t>Капітальний ремонт дитячо-спортивного майданчику на вул. Богданівській біля церкви)</t>
  </si>
  <si>
    <t>Придбання низькотемпературного етиленоксидного газового стерилізатора для КНП "Клінічна лікарня швидкої медичної допомоги м. Львова" на вул. І. Миколайчука, 9</t>
  </si>
  <si>
    <t>Капітальний ремонт об'єктів благоустрою на вул. І. Франка, 150 у м. Львові</t>
  </si>
  <si>
    <t>2810160</t>
  </si>
  <si>
    <t xml:space="preserve">Капітальний ремонт парку-пам'ятки садово-паркового мистецтва місцевого значення "Личаківський парк" </t>
  </si>
  <si>
    <t>2018-2023</t>
  </si>
  <si>
    <t>Капітальний ремонт парку-пам'ятки садово-паркового мистецтва місцевого значення "Залізна вода" (коригування ПКД)</t>
  </si>
  <si>
    <t>Капітальний ремонт парку ім. І. Виговського</t>
  </si>
  <si>
    <t>Реконструкція лісопарку "Білогорща" (1, 2 черга)</t>
  </si>
  <si>
    <t>Реконструкція лісопарку "Білогорща" (3 черга)</t>
  </si>
  <si>
    <t xml:space="preserve">2020-2023 </t>
  </si>
  <si>
    <t>Придбання обладнання та предметів довгострокового користування (придбання лавок та садово-паркових диванів)</t>
  </si>
  <si>
    <t>Придбання обладнання та предметів довгострокового користування (Арботом - прилад для сканування дерев для визначення їх стану)</t>
  </si>
  <si>
    <t>Капітальний ремонт дворів, внутрішньоквартальних доріг, тротуарів</t>
  </si>
  <si>
    <t>Виконання програми забезпечення доступності житлових приміщень осіб з інвалідністю у кріслах колісних та осіб з інвалідністю з порушенням зору 1-ої групи</t>
  </si>
  <si>
    <t>Капітальний ремонт внутрішнього дворика Львівського драматичного театру ім. Лесі Українки на вул. Городоцькій, 36, 38</t>
  </si>
  <si>
    <t>Реставраційно-ремонтні роботи дахів та фасадів Львівського драматичного театру ім. Лесі Українки на вул. Городоцькій, 36, вул. Городоцькій, 38 у м. Львові</t>
  </si>
  <si>
    <t>Придбання маримби для Львівської державної музичної школи № 2</t>
  </si>
  <si>
    <t>Капітальний ремонт Центральної дитячої бібліотеки на вул. Т. Окуневського, 3</t>
  </si>
  <si>
    <t>Реконструкція системи опалення в Львівській державній музичній школі № 3 на вул. Замарстинівській, 219</t>
  </si>
  <si>
    <t>Примітка*
(1 - виконані у 2020, але не оплачені;
2 - перехідні об'єкти (розпочаті у 2020, потреба на 2021)
3 - нові об'єкти, на які виготовлено ПКД)</t>
  </si>
  <si>
    <t xml:space="preserve"> 2019-2021 </t>
  </si>
  <si>
    <t>Реконструкція автоматичної пожежної сигналізації, систем газового пожежогасіння та систем оповіщення людей про пожежу мансардних приміщень хірургічного корпусу КНП "8-а міська клінічна лікарня м. Львова" на вул. В. Навроцького, 23</t>
  </si>
  <si>
    <t>Капітальний ремонт санвузлів Центру обліку та нічного перебування бездомних осіб на вул. Кирилівській, 3-А</t>
  </si>
  <si>
    <t>Облаштування системи пожежної сигналізації приміщень Галицького відділу соціального захисту УСЗ ДГП ЛМР на вул. Ф. Ліста, 5</t>
  </si>
  <si>
    <t>Керівництво і управління у сфері здійснення заходів цивільного захисту та запобігання виникненню надзвичайних ситуацій</t>
  </si>
  <si>
    <t>Виготовлення проектно-кошторисної документації та будівництво музичної школи на вул. Личаківській, 105</t>
  </si>
  <si>
    <t>1,2,4</t>
  </si>
  <si>
    <t>Реконструкція бібліотеки-філії № 37 ЦБС для дорослих м. Львова на вул. І. Миколайчука, 1 з влаштуванням окремого входу</t>
  </si>
  <si>
    <t>1610160</t>
  </si>
  <si>
    <t>Керівництво і управління у сфері архітектури та урбаністики</t>
  </si>
  <si>
    <t>1617310</t>
  </si>
  <si>
    <t>1617350</t>
  </si>
  <si>
    <t>7350</t>
  </si>
  <si>
    <t>Розроблення схем планування та забудови територій (містобудівної документації)</t>
  </si>
  <si>
    <t>Розроблення проекту внесення змін до затвердженої містобудівної документації “План зонування території м. Львова (зонінг). Том 1. Частина 5. Зонування Шевченківського району“ (у районі вул. Соснової)</t>
  </si>
  <si>
    <t xml:space="preserve">Розроблення проекту внесення змін до затвердженої містобудівної документації “План зонування території м. Львова (зонінг). Том 1. Частина 5. Зонування Шевченківського району“ (у районі житлового району Під Голоском) </t>
  </si>
  <si>
    <t>Розроблення детального плану території у районі вул. Мурованої, вул. Загірної, вул. Б. Хмельницького</t>
  </si>
  <si>
    <t>214 400,00</t>
  </si>
  <si>
    <t>Внесення змін до детального плану території у районі вул. Зеленої, вул. М. Пимоненка, вул. Д. Січинського (зміна 1)</t>
  </si>
  <si>
    <t>Детальний план території у районі вул. Т. Шевченка, межі міста</t>
  </si>
  <si>
    <t>Цифрове топогеодезичне знімання території для виготовлення містобудівної документації території</t>
  </si>
  <si>
    <t>здача в експлуатацію сертифікат</t>
  </si>
  <si>
    <t>здача в експлуатацію. Сертифікат</t>
  </si>
  <si>
    <t>0217324</t>
  </si>
  <si>
    <t>Облаштування системи водопостачання та водовідведення на території інформаційно-освітнього центру РЛП "Знесіння" на вул. О. Довбуша, 24, м. Львів</t>
  </si>
  <si>
    <t>0214081</t>
  </si>
  <si>
    <t>0829</t>
  </si>
  <si>
    <t>Забезпечення діяльності інших закладів в галузі культури і мистецтва</t>
  </si>
  <si>
    <t>2018-2020</t>
  </si>
  <si>
    <t>Облаштування громадського простору та водойми в м. Дубляни Львівської ТГ (капітальний ремонт)</t>
  </si>
  <si>
    <t>Реконструкція площі Двірцевої</t>
  </si>
  <si>
    <t>Реконструкція вул. Т. Шевченка (від вул. Залізничної до вул. Левандівської) з організацією кільцевого руху по вулицях Т. Шевченка, Левандівській, Залізничній</t>
  </si>
  <si>
    <t>Будівництво гравійної дороги від західного обходу м. Львова до житлового масиву "Білогорща"</t>
  </si>
  <si>
    <t xml:space="preserve">Реконструкція вул. Чернівецької (від вул. Городоцької до пл. Двірцевої) </t>
  </si>
  <si>
    <t>Реконструкція вул. Хуторівки</t>
  </si>
  <si>
    <t>Реконструкція вул. Б. Хмельницького (від вул. Промислової до вул. Липинського) у м. Львові</t>
  </si>
  <si>
    <t>Реконструкція вул. Т. Шевченка (від вул. Ярослава Мудрого до вул. Залізничної)</t>
  </si>
  <si>
    <t>Капітальний ремонт вул. Пекарської (від вул. Тершаковців до вул. І. Мечникова), вул. Шімзерів</t>
  </si>
  <si>
    <t>Будівництво вул. Ряшівської (від вул. Є. Патона до вул. Кульпарківської) з транспортними розв'язками</t>
  </si>
  <si>
    <t>Будівництво шляхопроводу та транспортної розв'язки на перетині вул. Наукової - вул. Княгині Ольги</t>
  </si>
  <si>
    <t xml:space="preserve">Капітальний ремонт вул. Данила Апостола (від будинку № 9-А до вул. Північної) у промзоні "Сигнівка" </t>
  </si>
  <si>
    <t>Капітальний ремонт вул. Личаківської (від вул. Букової до межі міста)</t>
  </si>
  <si>
    <t>Капітальний ремонт вул. Генерала В. Курмановича (від вул. А. П'ясецького до вул. Данила Апостола)</t>
  </si>
  <si>
    <t>Капітальний ремонт господарської будівлі Б-1 для облаштування кухні зоологічного відділу РЛП "Знесіння"</t>
  </si>
  <si>
    <t>Капітальний ремонт котельні з облаштуванням карантинного приміщення для тварин на території інформаційно-освітнього центру РЛП "Знесіння"</t>
  </si>
  <si>
    <t>Капітальний ремонт вхідної групи Стрийського парку зі сторони вул. Паркової у м. Львові (в т. ч. виготовлення ПКД)</t>
  </si>
  <si>
    <t>Реконструкція освітлення верхньої частини парку у природоохоронній рекреаційній установі парку-пам'ятці садово-паркового мистецтва загальнодержавного значення "Стрийський парк"</t>
  </si>
  <si>
    <t>2015-2022</t>
  </si>
  <si>
    <t>2016-2021</t>
  </si>
  <si>
    <t>2014-2022</t>
  </si>
  <si>
    <t>Розробка, виготовлення та експертиза ПКД на будівництво загальноосвітньої школи та дитячого навчального закладу в районі Під Голоском</t>
  </si>
  <si>
    <t>Капітальний ремонт актового залу з облаштуванням арт-простору для учнів СЗШ № 96 на вул. О. Довженка, 13</t>
  </si>
  <si>
    <t>3 - нові об'єкти, на які виготовлено ПКД</t>
  </si>
  <si>
    <t>співфінансування мікропроектів</t>
  </si>
  <si>
    <t>2 - перехідні об'єкти (розпочаті у 2020, потреба на 2021</t>
  </si>
  <si>
    <t>Капітальний ремонт даху з водовідведенням у ліцеї № 51 ім. І. Франка ЛМР на вул. Скісній, 1 (в т. ч. виготовлення ПКД та проведення експертизи проекту)</t>
  </si>
  <si>
    <t>Ремонтно-реставраційні роботи даху та фасаду з влаштуванням системи водовідведення у СЗШ № 52 на вул. М. Гоголя, 17 у м. Львові</t>
  </si>
  <si>
    <t>Придбання обладнання та предметів довготривалого користування для СЗШ № 30 на вул. Гетьмана І. Мазепи, 31 у м. Львові</t>
  </si>
  <si>
    <t>Капітальний ремонт спортивного залу СЗШ № 13 на вул. М. Драгана, 7</t>
  </si>
  <si>
    <t>Реконструкція з розширенням приміщень середньої загальноосвітньої школи № 63 на вул. Личаківській, 171 у м. Львові за рахунок прибудови під шкільні приміщення з влаштуванням спортивного та актового залів</t>
  </si>
  <si>
    <t>Капітальний ремонт спортивного майданчика у ліцеї № 51 ім. І. Франка ЛМР на вул. Скісній, 1 (в т. ч. виготовлення ПКД та проведення експертизи проекту)</t>
  </si>
  <si>
    <t>Будівництво адміністративно-побутового корпусу ігрових видів спорту на вул. І. Кавалерідзе, 15 та спеціалізованого ігрового майданчика для занять спортивними іграми на пісочному покритті</t>
  </si>
  <si>
    <t>Капітальний ремонт санвузлів у СЗШ № 31 на вул. Княгині Ольги, 104</t>
  </si>
  <si>
    <t>Капітальний ремонт санвузлів у СЗШ № 91 на вул. Варшавській, 58</t>
  </si>
  <si>
    <t>Капітальний ремонт приміщень лікарні під облаштування клініко-біохімічної лабораторії з ПЛР-лабораторією КНП "Клінічна лікарня швидкої медичної допомоги м. Львова" на вул. І. Миколайчука, 9</t>
  </si>
  <si>
    <t>Капітальний ремонт з влаштуванням пожежної сигналізації та оповіщення про пожежу (з виготовленням ПКД та експертизою) для КНП "Клінічна лікарня швидкої медичної допомоги м. Львова" на вул. І. Миколайчука, 9</t>
  </si>
  <si>
    <t>Будівництво Народного дому в с. Великі Грибовичі</t>
  </si>
  <si>
    <t>Влаштування експозиції Музично-меморіального музею Соломії Крушельницької на вул. С. Крушельницької, 23</t>
  </si>
  <si>
    <t>Реставраційно-ремонтні роботи протипожежної системи Львівського академічного драматичного театру ім. Лесі Українки у м. Львові</t>
  </si>
  <si>
    <t>Реконструкція з надбудовою Львівської державної школи мистецтв № 11 на вул. М. Кричевського, 61 у м. Львові</t>
  </si>
  <si>
    <t xml:space="preserve">Реконструкція Львівської дитячої школи мистецтв № 5 з влаштуванням мансардних приміщень в межах існуючого горища на вул. Хуторівці, 28 </t>
  </si>
  <si>
    <t>Капітальний ремонт Львівської дитячої художньої школи ім. О. Новаківського на вул. Володимира Великого, 26-А</t>
  </si>
  <si>
    <t>Капітальний ремонт мистецького простору на вул. Академіка В. Гнатюка, 20-22</t>
  </si>
  <si>
    <t>Реконструкція приміщень цокольного поверху дитячої школи мистецтв № 5 м. Львова на вул. Хуторівці, 28 під побутові та допоміжні приміщення</t>
  </si>
  <si>
    <t>Капітальний ремонт бібліотеки-філії № 15 на вул. Повітряній, 88</t>
  </si>
  <si>
    <t>Капітальний ремонт Львівського академічного театру естрадних мініатюр "І люди і ляльки" на вул. А. Фредра, 6/2</t>
  </si>
  <si>
    <t>Капітальний ремонт Львівської державної школи мистецтв № 9 в м. Винники, вул. Ринок, 4</t>
  </si>
  <si>
    <t>Закупівля спортивного комплексу та вуличних тренажерів для облаштування маршруту здоров'я на території РЛП "Знесіння", м. Львів</t>
  </si>
  <si>
    <t>Капітальний ремонт басейну ліцею ім. І. Пулюя на вул. І. Пулюя, 16 у м. Львові</t>
  </si>
  <si>
    <t>Капітальний ремонт басейну у ЗШ "Первоцвіт" на вул. А. Манастирського, 9</t>
  </si>
  <si>
    <t>Капітальний ремонт басейну ЗДО (ясла-садок) компенсуючого типу "Веселка" Львівської міської ради на вул. Китайській, 6-А</t>
  </si>
  <si>
    <t>Капітальний ремонт басейну ЗДО № 5 на вул. Таджицькій, 21</t>
  </si>
  <si>
    <t>Капітальний ремонт басейну СЗШ № 97 на вул. І. Миколайчука, 18 у м. Львові</t>
  </si>
  <si>
    <t>Капітальний ремонт приміщення з метою відновлення ДНЗ № 97 на вул. Дністерській, 25</t>
  </si>
  <si>
    <t>Капітальний ремонт із заміною вікон в ЗДО № 183 на вул. Хуторівці, 44</t>
  </si>
  <si>
    <t>Капітальний ремонт території СЗШ № 48 на вул. І. Рубчака, 8 у м. Львові</t>
  </si>
  <si>
    <t>Капітальний ремонт території в СЗШ № 50 на вул. Т. Комаринця, 2 у м. Львові</t>
  </si>
  <si>
    <t>Капітальний ремонт із заміною підлоги у ліцеї № 66 на вул. Науковій, 92 у м. Львові</t>
  </si>
  <si>
    <t>Капітальний ремонт гідроізоляції фундаменту ліцею № 37 ЛМР на вул. Личаківській, 38</t>
  </si>
  <si>
    <t>Капітальний ремонт приміщень ЦТДЮГ на вул. А. Вахнянина, 29</t>
  </si>
  <si>
    <t>Капітальний ремонт приміщень ЦДЮТ Залізничного району на вул. Городоцькій, 38</t>
  </si>
  <si>
    <t>Капітальний ремонт приміщень на вул. Т. Окуневського, 1</t>
  </si>
  <si>
    <t>Капітальний ремонт приміщень ЗШ "Дивосвіт" на вул. К. Трильовського, 24</t>
  </si>
  <si>
    <t>Капітальний ремонт з утепленням фасаду у ЗДО (ясла-садок) № 94 на вул. М. Яцкова, 15 у м. Львові</t>
  </si>
  <si>
    <t>Капітальний ремонт пральні ЗДО № 166 на вул. О. Кульчицької, 10-А</t>
  </si>
  <si>
    <t>Облаштування громадського простору та водойми на вул. П. Панча, 8-10 у м. Львові (капітальний ремонт)</t>
  </si>
  <si>
    <t>Капітальний ремонт системи опалення ліцею "Гроно" Львівської міської ради на вул. Вигоди, 27</t>
  </si>
  <si>
    <t>Реконструкція системи опалення з ліквідацією пічного опалення ЗДО № 29 на вул. П. Чайковського, 22</t>
  </si>
  <si>
    <t>Ремонт (реставраційний) системи опалення з ліквідацією пічного опалення у ЗДО № 26 на вул. І. Гушалевича, 5 у м. Львові</t>
  </si>
  <si>
    <t>Капітальний ремонт з утепленням покрівлі та влаштуванням дахових вікон у ЗДО№ 33 на вул. Володимира Великого, 13-А</t>
  </si>
  <si>
    <t>Капітальний ремонт даху у СЗШ № 100 на вул. І. Величковського, 58 у м. Львові</t>
  </si>
  <si>
    <t>Придбання обладнання і предметів довгострокового користування для ПШ "Малюк" ЛМР на вул. Володимира Великого, 41-А</t>
  </si>
  <si>
    <t>Придбання обладнання і предметів довгострокового користування для Львівської лінгвістичної гімназії на вул. Кирила і Мефодія, 17-А</t>
  </si>
  <si>
    <t>Придбання обладнання та предметів довготривалого користування для ліцею № 37 ЛМР на вул. Солодовій, 6</t>
  </si>
  <si>
    <t>Придбання обладнання та предметів довготривалого користування для ліцею № 6 ЛМР на вул. Зеленій, 22</t>
  </si>
  <si>
    <t>Придбання обладнання та предметів довготривалого користування для ліцею № 93 ЛМР на вул. А. Кос-Анатольського, 10</t>
  </si>
  <si>
    <t>Придбання обладнання та предметів довготривалого користування для ЛФМЛ на вул. В. Караджича, 29 у м. Львові</t>
  </si>
  <si>
    <t>Придбання обладнання та предметів довготривалого користування для гімназії "Євшан" на вул. Любінській, 93-А у м. Львові</t>
  </si>
  <si>
    <t>Капітальний ремонт басейну ЗДО (ясла-садок) № 57 на вул. Ю. Липи, 33 у м. Львові</t>
  </si>
  <si>
    <t>Капітальний ремонт ДНЗ № 111 на вул. І. Виговського, 1-А у м. Львів</t>
  </si>
  <si>
    <t>Капітальний ремонт огорожі ліцею "Галицький" ЛМР на вул. Замковій, 4 у м. Львові</t>
  </si>
  <si>
    <t>Капітальний ремонт ресурсної кімнати у ЗДО № 73 на вул. М. Бойчука, 7 у м. Львові</t>
  </si>
  <si>
    <t>Капітальний ремонт приміщень НВК "Школа гімназія І-ІІІ ст. Блаженного Климентія та Андрея Шептицьких" на вул. Г. Хоткевича, 16</t>
  </si>
  <si>
    <t>Капітальний ремонт харчоблоку ліцею № 81 ім. П. Сагайдачного Львівської міської ради на вул. Гетьмана І. Мазепи, 1-А</t>
  </si>
  <si>
    <t>Капітальний ремонт харчоблоку ЗДО (ясла-садок) компенсуючого типу № 52 Львівської міської ради на вул. Пасічній, 94</t>
  </si>
  <si>
    <t>Капітальний ремонт спортивного майданчика в СЗШ № 36 на вул. Володимира Великого, 55-Б у м. Львові</t>
  </si>
  <si>
    <t>Капітальний ремонт спортивного майданчика у СЗШ № 50 на вул. Т. Комаринця, 2 (в т. ч. виготовлення ПКД та проведення експертизи проекту)</t>
  </si>
  <si>
    <t>Капітальний ремонт спортивного майданчика у ПШ "Школа радості" ЛМР на вул. І. Пулюя, 10 (в т. ч. виготовлення ПКД та проходження експертизи)</t>
  </si>
  <si>
    <t>Капітальний ремонт спортивного майданчика у ПШ "Малюк" ЛМР на вул. Володимира Великого, 41-А (в т. ч. виготовлення ПКД та проходження експертизи)</t>
  </si>
  <si>
    <t>Капітальний ремонт спортивного майданчика СЗШ № 73 на вул. Дністерській, 5</t>
  </si>
  <si>
    <t>Капітальний ремонт спортивного майданчика ліцею "Оріяна" Львівської міської ради на вул. В. Чукаріна, 3</t>
  </si>
  <si>
    <t>Капітальний ремонт спортивного майданчика СЗШ № 86 на вул. Фр. Скорини, 34</t>
  </si>
  <si>
    <t>Капітальний ремонт спортивного майданчика у ЗШ "Первоцвіт" Львівської міської ради на вул. А. Манастирського, 9</t>
  </si>
  <si>
    <t>Капітальний ремонт спортивного майданчика у ПШ "Дзвіночок" Львівської міської ради на вул. М. Некрасова, 31</t>
  </si>
  <si>
    <t>Капітальний ремонт спортивного майданчика у ЛСЗШ I-III ступенів № 71 Львівської міської ради Львівської області на вул. Дорога Кривчицька, 92</t>
  </si>
  <si>
    <t>Капітальний ремонт спортивного майданчика середньої загальноосвітньої школи № 30 на вул. Гетьмана І. Мазепи, 31 у м. Львові</t>
  </si>
  <si>
    <t>Капітальний ремонт спортивного майданчика СЗШ № 77 на вул. І. Виговського, 7-А у м. Львові</t>
  </si>
  <si>
    <t>Капітальний ремонт спортивного майданчика ліцею № 94 Львівської міської ради на вул. Брюховицькій, 99</t>
  </si>
  <si>
    <t>Капітальний ремонт спортивного майданчика у ПШ "Арніка" Львівської міської ради на вул. В. Комарова, 12</t>
  </si>
  <si>
    <t>Капітальний ремонт спортивного майданчика у Львівській правничій гімназії на вул. М. Леонтовича, 2</t>
  </si>
  <si>
    <t>Капітальний ремонт спортивного майданчика ЗДО № 168 на вул. Кульпарківській, 182 у м. Львові</t>
  </si>
  <si>
    <t>Капітальний ремонт санвузлів у ЗШ "Дивосвіт" на вул. К. Трильовського, 24</t>
  </si>
  <si>
    <t>Капітальний ремонт санвузлів у СЗШ № 96 на вул. О. Довженка, 13</t>
  </si>
  <si>
    <t>Капітальний ремонт санвузлів у СЗШ № 93 на вул. А. Кос-Анатольського, 10</t>
  </si>
  <si>
    <t>Капітальний ремонт каналізації ліцею № 94 Львівської міської ради на вул. Брюховицькій, 99 (в т. ч. виготовлення ПКД та проведення експертизи проекту)</t>
  </si>
  <si>
    <t>Капітальний ремонт і заміною вікон у ліцеї "Гроно" Львівської міської ради на вул. Вигоди, 27</t>
  </si>
  <si>
    <t>Капітальний ремонт із заміною вікон у ЗДО № 127 на вул. С. Петлюри, 19</t>
  </si>
  <si>
    <t>Капітальний ремонт 1-го та 4-го поверхів ендоскопічного відділення КНП "Клінічна лікарня швидкої медичної допомоги м. Львова" на вул. І. Миколайчука, 9</t>
  </si>
  <si>
    <t>Капітальний ремонт приміщень під облаштування амбулаторії сімейної медицини КНП "Львівська 1-а міська клінічна лікарня імені Князя Лева" на вул. Під Голоском, 22</t>
  </si>
  <si>
    <t>Керівництво і управління у сфері земельних відносин і організації землеустрою</t>
  </si>
  <si>
    <t>Здійснення заходів із землеустрою</t>
  </si>
  <si>
    <t>4310160</t>
  </si>
  <si>
    <t>Виконання міської цільової програми приведення до санітарного стану житла, яке належить на праві власності або користування дітям-сиротам, дітям, позбавленим батьківського піклування, та особам з їх числа, на період 2014-2030 років</t>
  </si>
  <si>
    <t>Капітальний ремонт із заміни ліфтового обладнання ліфта комунального некомерційного підприємства "5-а міська поліклініка м. Львова" на вул. І. Виговського, 32</t>
  </si>
  <si>
    <t>Утримання та забезпечення діяльності центрів соціальних служб</t>
  </si>
  <si>
    <t>Придбання обладнання та предметів довгострокового користування для ДЮСШ</t>
  </si>
  <si>
    <t>Придбання обладнання та предметів довгострокового користування для ЛКП "Спортресурс"</t>
  </si>
  <si>
    <t>Встановлення професійних майданчиків для "Street Workout" у кожному районі м. Львова</t>
  </si>
  <si>
    <t>Будівництво велосипедної доріжки на вул. Княгині Ольги - вул. Академіка А. Сахарова</t>
  </si>
  <si>
    <t>Капітальний ремонт житлового фонду ОСББ та ЖБК м. Львова</t>
  </si>
  <si>
    <t>Технічна експертиза, модернізація, ремонт, заміна та диспетчеризація ліфтів у будинках ОСББ та ЖБК м. Львова</t>
  </si>
  <si>
    <t>Ремонтно-реставраційні роботи по каналізуванню житлового будинку на вул. І. Нечуя-Левицького, 15 у м. Львові</t>
  </si>
  <si>
    <t>Переобладнання нежитлових приміщень під житлові квартири на вул. Під Голоском, 22</t>
  </si>
  <si>
    <t>Внесення змін до затвердженої містобудівної документації “План зонування території м. Львова (зонінг). Том 1. Частина 6. Зонування Личаківського району" (у районі вул. Ковельської)</t>
  </si>
  <si>
    <t>Детальний план території у районі вул. Т. Шевченка, вул. Ряснянської</t>
  </si>
  <si>
    <t>Капітальний ремонт парку "700-річчя Львова"</t>
  </si>
  <si>
    <t xml:space="preserve">Капітальний ремонт парку "Озеро Левандівське" </t>
  </si>
  <si>
    <t xml:space="preserve">Капітальний ремонт парку "Піскові озера" </t>
  </si>
  <si>
    <t>Проведення невідкладних аварійно-відновлювальних робіт з виведення із аварійного стану окремих конструкційних елементів житлового будинку № 31 на вул. Р. Дашкевича (капітальний ремонт)</t>
  </si>
  <si>
    <t>Капітальний ремонт житла дитини - сироти на вул. В. Вернадського, 32, кв. 33</t>
  </si>
  <si>
    <t>Капітальний ремонт житла дитини - сироти на вул. Дністерській, 7, кв. 12</t>
  </si>
  <si>
    <t>Покращення благоустрою парку ім. Б. Хмельницького в смт. Брюховичі Львівської ТГ (придбання вуличних меблів)</t>
  </si>
  <si>
    <t>Капітальний ремонт частини парку "Горіховий гай" зі сторони вул. Бойківської у м. Львові</t>
  </si>
  <si>
    <t>Капітальний ремонт частини парку "Снопківський" зі сторони вул. Зеленої у м. Львові</t>
  </si>
  <si>
    <t>Розроблення детального плану території у районі вул. І. Величковського, вул. Прилбицької, залізничної колії</t>
  </si>
  <si>
    <t>Розроблення детального плану території у районі Рясне-2</t>
  </si>
  <si>
    <t>УСР</t>
  </si>
  <si>
    <t>ВК</t>
  </si>
  <si>
    <t>ЮД</t>
  </si>
  <si>
    <t>УП</t>
  </si>
  <si>
    <t>ДМА</t>
  </si>
  <si>
    <t>ДМ</t>
  </si>
  <si>
    <t>УО</t>
  </si>
  <si>
    <t>Придбання обладнання та предметів довготривалого користування для Львівської правничої гімназії на вул. М. Леонтовича, 2 у м. Львові</t>
  </si>
  <si>
    <t>УОЗ</t>
  </si>
  <si>
    <t>УСЗ</t>
  </si>
  <si>
    <t>УСД</t>
  </si>
  <si>
    <t>УК</t>
  </si>
  <si>
    <t>УС</t>
  </si>
  <si>
    <t>УМ</t>
  </si>
  <si>
    <t>ДПВ</t>
  </si>
  <si>
    <t>УАрх</t>
  </si>
  <si>
    <t>УОІС</t>
  </si>
  <si>
    <t>Утр</t>
  </si>
  <si>
    <t>ДР</t>
  </si>
  <si>
    <t>УБМ</t>
  </si>
  <si>
    <t>ДАМГ</t>
  </si>
  <si>
    <t>Утур</t>
  </si>
  <si>
    <t>ДЕР</t>
  </si>
  <si>
    <t>УЕПР</t>
  </si>
  <si>
    <t>УНС</t>
  </si>
  <si>
    <t>УКВ</t>
  </si>
  <si>
    <t>УДР</t>
  </si>
  <si>
    <t>УАП</t>
  </si>
  <si>
    <t>УЗР</t>
  </si>
  <si>
    <t>ДФП</t>
  </si>
  <si>
    <t>УФ</t>
  </si>
  <si>
    <t>ГРА</t>
  </si>
  <si>
    <t>ЗРА</t>
  </si>
  <si>
    <t>ЛРА</t>
  </si>
  <si>
    <t>ФРА</t>
  </si>
  <si>
    <t>ШРА</t>
  </si>
  <si>
    <t>СРА</t>
  </si>
  <si>
    <t>ГБ</t>
  </si>
  <si>
    <t>ДМА-ГБ</t>
  </si>
  <si>
    <t>УО-ГБ</t>
  </si>
  <si>
    <t>УОЗ-ГБ</t>
  </si>
  <si>
    <t>УСЗ-ГБ</t>
  </si>
  <si>
    <t>УК-ГБ</t>
  </si>
  <si>
    <t>УС-ГБ</t>
  </si>
  <si>
    <t>ДЖГІ-ГБ</t>
  </si>
  <si>
    <t>УБМ-ГБ</t>
  </si>
  <si>
    <t>УЕПР-ГБ</t>
  </si>
  <si>
    <t>ГРА-ГБ</t>
  </si>
  <si>
    <t>ЗРА-ГБ</t>
  </si>
  <si>
    <t>ЛРА-ГБ</t>
  </si>
  <si>
    <t>ФРА-ГБ</t>
  </si>
  <si>
    <t>ШРА-ГБ</t>
  </si>
  <si>
    <t>СРА-ГБ</t>
  </si>
  <si>
    <t>Обл.</t>
  </si>
  <si>
    <t>Топографо-геодезичні та геологорозвідувальні роботи для покращення технічного стану водойм</t>
  </si>
  <si>
    <t>Влаштування додаткової секції майданчику для вигулу собак на вул. Стрийській, 75</t>
  </si>
  <si>
    <t>Закупівля техніки для подрібнення гілок для РЛП "Знесіння"</t>
  </si>
  <si>
    <t>Капітальний ремонт будівлі Ж-1 для складування відходів тварин та птахів зоологічного відділу РЛП "Знесіння"</t>
  </si>
  <si>
    <t>Придбання обладнання та предметів довготривалого користування для ліцею № 8 ЛМР на вул. Підвальній, 2</t>
  </si>
  <si>
    <t xml:space="preserve">Капітальний ремонт приміщень під створення кабінету магнітно-резонансної томографії у складі відділення невідкладної допомоги КНП "Клінічна лікарня швидкої медичної допомоги м. Львова" на вул. І. Миколайчука, 9 </t>
  </si>
  <si>
    <t>Капітальний ремонт приміщень під створення ангіографічної операційної у складі відділення невідкладної допомоги КНП "Клінічна лікарня швидкої медичної допомоги м. Львова" на вул. І. Миколайчука, 9</t>
  </si>
  <si>
    <t>Капітальний ремонт приміщень під створення кабінету магнітно-резонансної томографії у складі відділення невідкладної допомоги КНП "8-а міська клінічна лікарня м. Львова" на вул. В. Навроцького, 23</t>
  </si>
  <si>
    <t xml:space="preserve">Капітальний ремонт приміщень під створення ангіографічної операційної у складі відділення невідкладної допомоги КНП "8-а міська клінічна лікарня м. Львова" на вул. В. Навроцького, 23 </t>
  </si>
  <si>
    <t>Ремонтно-реставраційні роботи каплиці Трьох Святителів на вул. Руській, 7 у м. Львові, пам’ятки архітектури національного значення, охоронний № 332/3</t>
  </si>
  <si>
    <t>Виготовлення проекту землеустрою щодо зміни та встановлення меж міста Львова, II-й етап</t>
  </si>
  <si>
    <t>Розроблення проекту землеустрою щодо організації і встановлення меж територій природно-заповідного фонду та іншого природоохоронного призначення ландшафтного заказника місцевого значення "Торфовище Білогорща"</t>
  </si>
  <si>
    <t>Капітальний ремонт дворів, внутрішньоквартальних доріг і тротуарів (облаштування громадського простору на вул. Білогорща, 23)</t>
  </si>
  <si>
    <t>Капітальний ремонт протипожежного водопроводу та водосховища Комунальної міської клінічної лікарні швидкої медичної допомоги на вул. І. Миколайчука, 9</t>
  </si>
  <si>
    <t>Ремонтно-реставраційні роботи будинку-пам'ятки архітектури місцевого значення на вул. В. Стефаника, 11, охоронний № 280</t>
  </si>
  <si>
    <t>Реконструкція вул. Замарстинівської 
(від вул. Гайдамацької до вул. Торф'яної)</t>
  </si>
  <si>
    <t>Реконструкція вул. Т. Шевченка (від вул. 
Хорватської до вул. Ярослава Мудрого)</t>
  </si>
  <si>
    <t>Капітальний ремонт вул. Данила Апостола (від будинку № 9-А до вул. Генерала В. Курмановича) у промзоні "Сигнівка"</t>
  </si>
  <si>
    <t>Демонтаж та переміщення конструкцій Монументу Бойової Слави Радянських збройних сил</t>
  </si>
  <si>
    <t xml:space="preserve">Виконання Міської програми технічної експертизи, модернізації, ремонту, заміни та диспетчеризації ліфтів у житлових будинках та закладах охорони здоров'я м. Львова на період 2017-2023 років </t>
  </si>
  <si>
    <t>Капітальний ремонт дворів, внутрішньоквартальних доріг і тротуарів</t>
  </si>
  <si>
    <t>Проведення демонтажу конструкційних елементів аварійного житлового будинку № 29 на вул. Р. Дашкевича (капітальний ремонт)</t>
  </si>
  <si>
    <t>Капітальний ремонт частини парку "Горіховий гай" зі сторони вул. Я. Музики у м. Львові (в т. ч. покращення технічного стану водойм)</t>
  </si>
  <si>
    <t>Капітальний ремонт ботанічної пам’ятки природи місцевого значення “Лісопарк “Погулянка“ (в тому числі розробка ПКД) та площі перед ЦТДЮГ (гідротехнічний розрахунок, геодезія, архітектурний конкурс, ПКД)</t>
  </si>
  <si>
    <t>Облаштування громадського простору та водойми на вул. Замарстинівській, 270 у м. Львові (капітальний ремонт)</t>
  </si>
  <si>
    <t>Реконструкція вул. С. Бандери</t>
  </si>
  <si>
    <t>Ремонтно-реставраційні роботи гідроізоляції фундаментів та дренажу будівлі ліцею № 28 ЛМР на вул. Тютюнників, 2 у м. Львові</t>
  </si>
  <si>
    <t>Капітальний ремонт території подвір'я ДНЗ на вул. Стуса 1-А в с. Великі Грибовичі</t>
  </si>
  <si>
    <t xml:space="preserve"> 2021-2022</t>
  </si>
  <si>
    <t>Закупівля багаторічних саджанців</t>
  </si>
  <si>
    <t>4516030</t>
  </si>
  <si>
    <t>Закупівля багаторічних насаджень</t>
  </si>
  <si>
    <t>Придбання житла для відселення мешканців з аварійного, що загрожує обвалом, будинку на вул. Хімічній, 2</t>
  </si>
  <si>
    <t>Капітальний ремонт нежитлової будівлі "А'-1" (адміністративний корпус № 1) на вул. Стрийській, 15 у м. Львові</t>
  </si>
  <si>
    <t>Капітальний ремонт фонтану на вул. Гетьмана І. Мазепи, 8 у м. Львові</t>
  </si>
  <si>
    <t>Розробка містобудівної документації - комплексний план просторового розвитку території Львівської міської територіальної громади</t>
  </si>
  <si>
    <t>2817350</t>
  </si>
  <si>
    <t>Актуалізація міської геодезичної мережі м. Львова з прив'язкою її до місцевої системи координат (МСК-46 Львівської області), утвореної від УСК-2000</t>
  </si>
  <si>
    <t>0211010</t>
  </si>
  <si>
    <t>0211021</t>
  </si>
  <si>
    <t>0214060</t>
  </si>
  <si>
    <t>Забезпечення діяльності палаців і будинків культури, клубів центрів дозвілля та інших клубних закладів</t>
  </si>
  <si>
    <t>0217321</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</si>
  <si>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</si>
  <si>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</si>
  <si>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</si>
  <si>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Найменування головного розпорядника коштів місцевого бюджету /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</si>
  <si>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Реконструкція Меморіальним музеєм тоталітарних режимів "Територія Терору" нежитлових приміщень на вул. Старій, 13 під відділ "Музей малолітніх політичних в'язнів і репресованих" у м. Львові</t>
  </si>
  <si>
    <t>Капітальний ремонт доріг і тротуарів, дворів, внутрішньоквартальних доріг та тротуарів</t>
  </si>
  <si>
    <t>Капітальний ремонт приміщень на вул. Панаса Мирного у м. Львові</t>
  </si>
  <si>
    <t>Капітальний ремонт санвузлів у ліцеї міжнародних відносин ім. В. Стуса Львівської міської ради на вул. Повстанській, 14</t>
  </si>
  <si>
    <t>Капітальний ремонт санвузлів у ліцеї № 46 ім. В. Чорновола Львівської міської ради на вул. Науковій, 90</t>
  </si>
  <si>
    <t>Капітальний ремонт санвузлів у ліцеї № 45 Львівської міської ради на вул. Науковій, 25</t>
  </si>
  <si>
    <t>Капітальний ремонт санвузлів у ліцеї № 94 Львівської міської ради на вул. Брюховицькій, 99</t>
  </si>
  <si>
    <t>Капітальний ремонт даху ліцею № 45 на вул. Науковій, 25</t>
  </si>
  <si>
    <t xml:space="preserve">Реконструкція приміщень ізоляційно-діагностичного корпусу Комунального некомерційного підприємства "Міська дитяча клінічна лікарня м. Львова" на вул. Пилипа Орлика, 4 </t>
  </si>
  <si>
    <t>Реконструкція автоматичної пожежної сигналізації Комунального некомерційного підприємства "Міська дитяча клінічна лікарня м. Львова" на вул. Пилипа Орлика, 4</t>
  </si>
  <si>
    <t>Реконструкція приміщень для створення амбулаторії сімейної медицини Комунального некомерційного підприємства "4-а міська поліклініка м. Львова" на вул. Дністерській, 16</t>
  </si>
  <si>
    <t>Найменування об'єкта будівництва/вид будівельних робіт,                          у тому числі проектні роботи</t>
  </si>
  <si>
    <t>Загальна тривалість будівництва                           (рік початку і завершення)</t>
  </si>
  <si>
    <t>Обсяг видатків                                бюджету розвитку, які спрямовуються на будівництво об'єкта у бюджетному періоді, гривень</t>
  </si>
  <si>
    <t>Придбання обладнання і предметів довгострокового користування у ліцеї № 28 ЛМР на вул. Тютюнників, 2 у м. Львові</t>
  </si>
  <si>
    <t>Придбання обладнання і предметів довгострокового користування у ліцеї № 52 ЛМР на вул. М. Гоголя, 17 у м. Львові</t>
  </si>
  <si>
    <t>Придбання обладнання та предметів довготривалого користування для ліцею "Львівський" ЛМР на вул. Лисеницькій, 3</t>
  </si>
  <si>
    <t>Придбання обладнання та предметів довгострокового користування для ліцею "Львівський" Львівської міської ради на вул. Лисеницькій, 3</t>
  </si>
  <si>
    <t>Будівництво дитячого дошкільного навчального закладу на вул. Білогорщі, 3-А із знесенням існуючої нежитлової будівлі</t>
  </si>
  <si>
    <t>Капітальний ремонт харчоблоку у СЗШ № 48 на вул. І. Рубчака, 8 у м. Львові</t>
  </si>
  <si>
    <t>Капітальний ремонт спортивного майданчика ліцею № 93 Львівської міської ради на вул. А. Кос-Анатольського, 10</t>
  </si>
  <si>
    <t>Капітальний ремонт спортивного майданчика у СЗШ № 82 на вул. П. Шафарика, 13</t>
  </si>
  <si>
    <t>Реконструкція приміщень 1-го поверху кардіологічного корпусу Комунальної 8-ї міської клінічної лікарні на вул. В. Навроцького, 23 з влаштуванням відділення комп’ютерної томографії в м. Львові</t>
  </si>
  <si>
    <t xml:space="preserve">Капітальний ремонт із заміни ліфтового обладнання ліфта Комунального некомерційного підприємства "Пологовий клінічний будинок № 1 м. Львова" на вул. І. Мечникова, 8 </t>
  </si>
  <si>
    <t>Реконструкція системи внутрішнього протипожежного водопроводу поліклінічного відділення № 1 за адресою: вул. Генерала Т. Чупринки, 43</t>
  </si>
  <si>
    <t>Капітальний ремонт ліфтової шахти та машинного приміщення із заміною ліфтового обладнання КНП ″4-та міська поліклініка м. Львова″ за адресою: просп. Червоної Калини, 68</t>
  </si>
  <si>
    <t>Реконструкція системи пожежної сигналізації та системи оповіщення про пожежу з передачею сигналу тривоги на пульт протипожежного спостереження КНП ″4-та міська поліклініка м. Львова″ за адресою: просп. Червоної Калини, 57</t>
  </si>
  <si>
    <t>Капітальний ремонт із заміни ліфтового обладнання ліфта Комунального некомерційного підприємства "Стоматологічна поліклініка № 4" на вул. В. Симоненка, 6-А</t>
  </si>
  <si>
    <t>Виготовлення проектно-кошторисної документації та реконструкція приміщень Комунальної реабілітаційної установи змішаного типу "Львівський міський центр реабілітації "Джерело" за адресою: м. Винники, вул. Галицька, 12</t>
  </si>
  <si>
    <t>Виготовлення проектно-кошторисної документації та реконструкція приміщень Комунальної реабілітаційної установи змішаного типу "Львівський міський центр реабілітації "Джерело" за адресою: м. Львів, вул. Пасічна, 39</t>
  </si>
  <si>
    <t>Виготовлення проектно-кошторисної документації та реконструкція будівлі Львівського центру надання послуг учасникам бойових дій за адресою: 
м. Львів, вул. Кульпарківська, 95</t>
  </si>
  <si>
    <t>Встановлення пожежної сигналізації приміщень управління соціального захисту ДГП ЛМР за адресою: м. Львів, вул. Галицька, 21</t>
  </si>
  <si>
    <t>Придбання обладнання та предметів довгострокового користування для Комунальної установи "Центр соціальної підтримки дітей та сімей "Рідні"</t>
  </si>
  <si>
    <t>Реставраційно-ремонтні роботи Львівського академічного театру ім. Леся Курбаса на вул. Леся Курбаса, 3</t>
  </si>
  <si>
    <t>Капітальний ремонт стадіону з трибунами СДЮСШОР № 4 на вул. А. Вахнянина, 1</t>
  </si>
  <si>
    <t>Внесення змін до детального плану території у межах вул. Зеленої, вул. Пирогівки, вулиці проектованої 4 (зміна 3)</t>
  </si>
  <si>
    <t>Утримання та розвиток автомобільних доріг та дорожньої інфраструктури за рахунок коштів місцевого бюджету</t>
  </si>
  <si>
    <t>7461</t>
  </si>
  <si>
    <t>0456</t>
  </si>
  <si>
    <t>1217461</t>
  </si>
  <si>
    <t>1817370</t>
  </si>
  <si>
    <t>3617650</t>
  </si>
  <si>
    <t>Проведення експертної грошової оцінки земельної ділянки чи права на неї</t>
  </si>
  <si>
    <t>7650</t>
  </si>
  <si>
    <t>4217461</t>
  </si>
  <si>
    <t>4317461</t>
  </si>
  <si>
    <t>4417461</t>
  </si>
  <si>
    <t>4517461</t>
  </si>
  <si>
    <t>4617461</t>
  </si>
  <si>
    <t>0217325</t>
  </si>
  <si>
    <t>0217461</t>
  </si>
  <si>
    <t>Розроблення документацій із землеустрою щодо інвентаризації земельних ділянок соціальних об'єктів в межах ТГ (школи, лікарні, кладовища)</t>
  </si>
  <si>
    <t>Облаштування території між будинками № 1 та № 2 на вул. Кільцевій у м. Винники</t>
  </si>
  <si>
    <t>Виконання Програми проведення ремонтно-реставраційних робіт цінних елементів житлових будинків - пам'яток культурної спадщини у 2021-2025 роках</t>
  </si>
  <si>
    <t>Капітальний ремонт дворів, внутрішньоквартальних доріг та тротуарів на вул. Коломийській, 19 - вул. І. Кавалерідзе,16 у м. Львові</t>
  </si>
  <si>
    <t>4117461</t>
  </si>
  <si>
    <t>Капітальний ремонт дворів, внутрішньоквартальних доріг, тротуарів, зупинок громадського транспорту, площ та інших об'єктів благоустрою на території Галицького району</t>
  </si>
  <si>
    <t>Виконання міської програми забезпечення доступності житлових приміщень осіб з інвалідністю у кріслах колісних та осіб з порушенням зору 1 групи</t>
  </si>
  <si>
    <t>Будівництво спортивно-відпочинкового комплексу в с. Рясне-Руське Львівської області (коригування)</t>
  </si>
  <si>
    <t>з</t>
  </si>
  <si>
    <t>Реконструкція вул. Замарстинівської (від будинку № 130 до вул. Гетьмана І. Мазепи) з будівництвом трамвайної колії</t>
  </si>
  <si>
    <t>Будівництво проектованої дороги від вул. Пластової до вул. Творчої</t>
  </si>
  <si>
    <t>Капітальний ремонт перехрестя вул. Володимира Великого - вул. Княгині Ольги</t>
  </si>
  <si>
    <t>Будівництво вулиці проектованої (від вул. Угорської до вул. Луганської)</t>
  </si>
  <si>
    <t>Реконструкція вул. Козельницької (від вул. Луганської до вул. Енергетичної)</t>
  </si>
  <si>
    <t>РАЗОМ</t>
  </si>
  <si>
    <t>Гарантії (прийняті)</t>
  </si>
  <si>
    <t>знято</t>
  </si>
  <si>
    <t>додано</t>
  </si>
  <si>
    <t>Ремонтно-реставраційні роботи даху колишньої промислової школи - пам’ятки архітектури місцевого значення на вул. Снопківській, 47, охоронний № 281</t>
  </si>
  <si>
    <t>1117370</t>
  </si>
  <si>
    <t>Викуп з мотивів суспільної необхідності стадіону "Торпедо" на вул. Золотій, 40-А</t>
  </si>
  <si>
    <t>Будівництво Палацу спорту на просп. Червоної Калини (у межах громадського центру на Сихові)</t>
  </si>
  <si>
    <t>4316030</t>
  </si>
  <si>
    <t>4216030</t>
  </si>
  <si>
    <t>Райони</t>
  </si>
  <si>
    <t>4616030</t>
  </si>
  <si>
    <t>Придбання обладнання і предметів довгострокового користування для ліцею № 70 ЛМР на вул. Дорога Кривчицька, 1 у рамках реалізації проектів "Привітна школа"</t>
  </si>
  <si>
    <t>Капітальний ремонт ДНЗ № 96 на вул. Клепарівській 31 у місті Львові</t>
  </si>
  <si>
    <t>Капітальний ремонт благоустрою території ( зовнішні мережі водопостачання, каналізування та електропостачання) ДНЗ № 97 на вул. Дністерській, 25</t>
  </si>
  <si>
    <t>Ремонтно-реставраційні роботи фасадів НВК "ШКТ-ЛТЛ" на вул. Таманській, 11</t>
  </si>
  <si>
    <t>капітальний ремонт спортивного майданчика у СЗШ І-ІІІ ступенів № 78 м. Львова на вул. Замарстинівській, 132</t>
  </si>
  <si>
    <t>Реконструкція СЗШ № 67 з розширенням приміщень на вул. Сяйво, 18 (в т. ч. виготовлення ПКД та проведення експертизи проекту)</t>
  </si>
  <si>
    <t>Капітальний ремонт закладів загальної середньої освіти з облаштуванням доступності у СЗШ № 51</t>
  </si>
  <si>
    <t>Капітальний ремонт частини даху СЗШ № 20 на вул. Скидана, 18</t>
  </si>
  <si>
    <t>Реконструкція будівлі недіючої амбулаторії під заклад дошкільної освіти на вул. М. Грушевського, 48, смт. Рудно</t>
  </si>
  <si>
    <t>2020-2020</t>
  </si>
  <si>
    <t xml:space="preserve">Капітальний ремонт палат інтенсивної терапії 3-го хірургічного відділення КНП "Клінічна лікарня швидкої медичної допомоги м. Львова" на вул. І. Миколайчука, 9
</t>
  </si>
  <si>
    <t>Капітальний ремонт віконних та дверних пройомів (заміна вікон та дверей на металопластикові) головного корпусу КНП "Клінічна лікарня швидкої медичної допомоги м. Львова" на вул. І. Миколайчука, 9</t>
  </si>
  <si>
    <t>Капітальний ремонт першого відділення центру хірургії КНП "Клінічна лікарня швидкої медичної допомоги м. Львова" на вул. І. Миколайчука, 9</t>
  </si>
  <si>
    <t>Капітальний ремонт 6-го поверху клініко-діагностичної лабораторії КНП "Клінічна лікарня швидкої медичної допомоги м. Львова" на вул. І. Миколайчука, 9</t>
  </si>
  <si>
    <t>Капітальний ремонт 2-го, 4-го та 5-го поверхів операційного блоку лікарні КНП "Клінічна лікарня швидкої медичної допомоги м. Львова" на вул. І. Миколайчука, 9</t>
  </si>
  <si>
    <t>Капітальний ремонт із заміни ліфтового обладнання ліфта Комунального некомерційного підприємства "Міська дитяча клінічна лікарня м. Львова" на вул. Пилипа Орлика, 4</t>
  </si>
  <si>
    <t>Виготовлення проектно-кошторисної документації на об’єкт "Будівництво новітнього хірургічного корпусу КНП "Клінічна лікарня швидкої медичної допомоги м. Львова" на вул. І. Миколайчука, 9</t>
  </si>
  <si>
    <t>Капітальний ремонт нейрохірургічної операційної КНП "Міська дитяча клінічна лікарня м. Львова" на вул. Пилипа Орлика, 4</t>
  </si>
  <si>
    <t>2021-2020</t>
  </si>
  <si>
    <t>Ремонтно-реставраційні роботи пам’ятки архітектури національного значення - колишнього костелу Магдалини на вул. С. Бандери, 8 (10), охоронний № 345</t>
  </si>
  <si>
    <t>Придбання обладнання для медичної реабілітації для поліклінічного відділення КНП "3-я міська клінічна лікарня м. Львова" на вул. Т. Шевченка, 350</t>
  </si>
  <si>
    <t>Придбання 2 холодильних шестисекційних низькотемпературних камер для зберігання тіл для КНП "Клінічна лікарня швидкої медичної допомоги м. Львова" на вул. І. Миколайчука, 9</t>
  </si>
  <si>
    <t>Придбання нейроонкологічного обладнання для відділення нейрохірургії КНП "Міська дитяча клінічна лікарня м. Львова" на вул. Пилипа Орлика, 4</t>
  </si>
  <si>
    <t xml:space="preserve">Капітальний ремонт приміщень пульмонологічного відділення КНП "5-а міська клінічна лікарня м. Львова" на вул. Є. Коновальця, 20-22 </t>
  </si>
  <si>
    <t xml:space="preserve">Капітальний ремонт із заміни вікон Центру терапії за адресою вул. Генерала Т. Чупринки, 48 </t>
  </si>
  <si>
    <t>Капітальний ремонт приміщень цокольного поверху під відділення фізичної реабілітації та раннього втручання за адресою вул. Генерала Т. Чупринки, 61</t>
  </si>
  <si>
    <t>Реконструкція пандусу амбулаторії сімейної медицини с. Лисиничі КНП "6-а міська поліклініка м. Львова"</t>
  </si>
  <si>
    <t>Капітальний ремонт санвузла амбулаторії сімейної медицини с. Лисиничі КНП "6-а міська поліклініка м. Львова"</t>
  </si>
  <si>
    <t>Внески до статутного капіталу КНП "Клінічна лікарня швидкої медичної допомоги м. Львова"</t>
  </si>
  <si>
    <t>Внески до статутного капіталу КНП "8-а міська клінічна лікарня м. Львова"</t>
  </si>
  <si>
    <t>Придбання обладнання та предметів довготривалого користування для ЗДО № 168 на вул. Кульпарківській, 182 у м. Львові</t>
  </si>
  <si>
    <t>Придбання обладнання та предметів довготривалого користування для ПШ "Світанок" ЛМР на вул. вул. С. Петлюри, 43-А</t>
  </si>
  <si>
    <t>Придбання обладнання та предметів довготривалого користування для ліцей № 81 ім. П. Сагайдачного ЛМР</t>
  </si>
  <si>
    <t>Придбання обладнання і предметів довгострокового користування для їдальні СЗШ І-ІІІ ступенів № 29 м. Львова на вул. В. Сухомлинського, 6 у м. Винники</t>
  </si>
  <si>
    <t>Капітальний ремонт басейну ЛЗШ № 43 м. Львів вул. Т. Масарика, 9</t>
  </si>
  <si>
    <t>Капітальний ремонт із заміною вікон У СЗШ № 60 м. Львова на вул. Сигнівці, 1 у м. Львові</t>
  </si>
  <si>
    <t>Капітальний ремонт із заміною вікон у гімназії "Престиж" на вул. Ветеранів, 11 у м. Львові</t>
  </si>
  <si>
    <t>Капітальний ремонт харчоблоку СЗШ № 99 міста Львова на вул. Творчій, 1 у м. Львові</t>
  </si>
  <si>
    <t>Капітальний ремонт спортивного майданчика середньої загальноосвітньої школи № 1 на вул. вул. К. Трильовського, 17</t>
  </si>
  <si>
    <t>Капітальний ремонт спортивного майданчика у СЗШ І-ІІІ ступенів № 47 м. Львова у м. Винники на вул. Галицькій, 54</t>
  </si>
  <si>
    <t>Капітальний ремонт будівлі на вул. М. Грушевського, 48, смт. Рудно (в т. ч. виготовлення ПКД та проведення експертизи проекту)</t>
  </si>
  <si>
    <t>Реконструкція з розширенням існуючої школи № 41 на вул. А. Макаренка, 19 в смт. Брюховичі</t>
  </si>
  <si>
    <t>Капітальний ремонт будівлі опорного закладу "Дублянська загальноосвітня школа I-III ст. ім. Героя України Анатолія Жаловаги" на вул. Т. Шевченка, 21 у м. Дубляни</t>
  </si>
  <si>
    <t>Капітальний ремонт санвузлів у ліцеї № 21 Львівської міської ради на вул. О. Кониського, 8</t>
  </si>
  <si>
    <t>Капітальний ремонт санвузлів у СЗШ № 74 смт. Рудно, вул. І. Огієнка, 9</t>
  </si>
  <si>
    <t>Капітальний ремонт із заміною вікон у ЗДО № 116 на вул. Джерельній, 71</t>
  </si>
  <si>
    <t>Придбання рентгенологічного обладнання для КНП "3-я міська клінічна лікарня м. Львова" на вул. Я. Раппапорта, 6</t>
  </si>
  <si>
    <t>Придбання підйомника для транспортування важкохворих КНП "Клінічна лікарня швидкої медичної допомоги м. Львова" на вул. І. Миколайчука, 9</t>
  </si>
  <si>
    <t>Придбання двох автомобілів екстреної медичної допомоги КНП "Клінічна лікарня швидкої медичної допомоги м. Львова" на вул. І. Миколайчука, 9</t>
  </si>
  <si>
    <t>Придбання ШВЛ для КНП "Клінічна лікарня швидкої медичної допомоги м. Львова" на вул. І. Миколайчука, 9</t>
  </si>
  <si>
    <t>Придбання УЗД апарата для КНП "3-я міська поліклініка м. Львова" на вул. Повітряній, 99</t>
  </si>
  <si>
    <t>Капітальний ремонт системи протипожежного захисту приміщень КНП "4-а міська клінічна лікарня м. Львова" за адресою вул. Я. Стецька, 3 у м. Львові</t>
  </si>
  <si>
    <t>Реконструкція пандусу та влаштування санвузла в будівлі амбулаторії сімейної медицини № 6 с. Рясна-Руська КНП "3-я міська клінічна лікарня м. Львова"</t>
  </si>
  <si>
    <t>Капітальний ремонт відділення анестезіології та інтенсивної терапії КНП "Клінічна лікарня швидкої медичної допомоги м. Львова" на вул. І. Миколайчука, 9</t>
  </si>
  <si>
    <t>Придбання мамографа для КНП "6-а міська поліклініка м. Львова" на вул. Медової Печери, 1,</t>
  </si>
  <si>
    <t>1819800</t>
  </si>
  <si>
    <t>9800</t>
  </si>
  <si>
    <t xml:space="preserve">Субвенція з місцевого бюджету державному бюджету на виконання програм соціально-економічного розвитку регіонів </t>
  </si>
  <si>
    <t>Субвенція державному бюджету на капітальний ремонт корпусу № 20 на вул. Князя Романа, 3-А у м. Львові для облаштування наукового дослідних лабораторій та інформаційно-комунікаційних майданчиків інноваційного (наукового) парку на базі НУ "Львівська політехніка"</t>
  </si>
  <si>
    <t>Ремонтно-реставраційні роботи пам'яток Львівської МТГ</t>
  </si>
  <si>
    <t>Капітальний ремонт благоустрою території ДНЗ № 97 на вул. Дністерській, 25 у м. Львові (в т. ч. виготовлення ПКД)</t>
  </si>
  <si>
    <t>Реконструкція Класичною гімназією при ЛНУ ім. І. Франка спортивного залу на вул. Пороховій, 3</t>
  </si>
  <si>
    <t>Капітальний ремонт харчоблоку у СЗШ № 100 на вул. І. Величковського, 58 у м. Львові</t>
  </si>
  <si>
    <t>Придбання обладнання для центру кохлеарної імплантації КНП "Міська дитяча клінічна лікарня м. Львова" на вул. Пилипа Орлика, 4</t>
  </si>
  <si>
    <t>Придбання апарату ІФА для КНП "3-я міська поліклініка м. Львова" на вул. Повітряній, 99</t>
  </si>
  <si>
    <t>Капітальний ремонт даху будівлі КНП "5-а міська клінічна лікарня м. Львова" на вул. Є. Коновальця, 22</t>
  </si>
  <si>
    <t>Капітальний ремонт ліфтової шахти із монтажем ліфтового обладнання КНП "5-а міська клінічна лікарня м. Львова" на вул. Є. Коновальця, 22</t>
  </si>
  <si>
    <t>Придбання обладнання і предметів довгострокового користування для облаштування медіа-наукової лабораторії у ліцеї № 52 на вул. М. Гоголя, 17</t>
  </si>
  <si>
    <t>ДАП</t>
  </si>
  <si>
    <t xml:space="preserve"> 2020-2021              </t>
  </si>
  <si>
    <t xml:space="preserve">Капітальний ремонт 2-го та 3-го поверху відділення судинної та малоінвазивної нейрохірургії і неврології КНП "Клінічна лікарня швидкої медичної допомоги м. Львова" на вул. І. Миколайчука, 9 </t>
  </si>
  <si>
    <t xml:space="preserve"> 2020-2021       </t>
  </si>
  <si>
    <t xml:space="preserve"> 2020-2022       </t>
  </si>
  <si>
    <t xml:space="preserve">Реконструкція приміщень під створення амбулаторно-поліклінічного відділення на вул. Т. Шевченка, 350                        </t>
  </si>
  <si>
    <t xml:space="preserve">Будівництво зовнішнього ліфта до будівлі поліклінічного відділення № 1 за адресою вул. Генерала Т. Чупринки, 43 </t>
  </si>
  <si>
    <t>Капітальний ремонт спортивного майданчика на вул. Моршинській, 12</t>
  </si>
  <si>
    <t>Викуп для суспільних потреб об'єкта нерухомого майна садового будинку, урочище Мале Голоско, будинок № 14</t>
  </si>
  <si>
    <t>Викуп для суспільних потреб об'єкта нерухомого майна садового будинку, урочище Мале Голоско, будинок № 9</t>
  </si>
  <si>
    <t>Придбання обладнання і предметів довгострокового користування для ЛЗШ І-ІІІ ст. № 82 на вул. П. Шафарика, 13 у рамках реалізації проектів "Привітна школа"</t>
  </si>
  <si>
    <t>Капітальний ремонт басейну ліцею № 94 на вул. Т. Шевченка, 324 у м. Львові</t>
  </si>
  <si>
    <t>Благоустрій території у ЗДО (ясла-садок) компенсуючого типу № 31 ЛМР Львівської області на вул. П. Панча, 16 у м. Львові</t>
  </si>
  <si>
    <t>Капітальний ремонт покрівлі даху, перекриття, фасадів та водовідведення в навчальному приміщенні Центру дитячої та юнацької творчості Залізничного району за адресою: вул. Чернівецька, 4 у м. Львові (в т. ч. виготовлення ПКД та експертиза проекту)</t>
  </si>
  <si>
    <t>Капітальний ремонт спортивного майданчика у ліцеї № 46 ім. В. Чорновола ЛМР на вул. Науковій, 90 (в т. ч. виготовлення ПКД та проведення експертизи проекту)</t>
  </si>
  <si>
    <t>Капітальний ремонт спортивного майданчика у ліцеї ім. В. Симоненка на вул. В. Симоненка, 6 ( в т. ч. виготовлення ПКД та проходження експертизи)</t>
  </si>
  <si>
    <t>Капітальний ремонт спортивного майданчика у ліцеї № 70 Львівської міської ради на вул. Дорога Кривчицька, 1</t>
  </si>
  <si>
    <t>Капітальний ремонт спортивного майданчика у СЗШ № 99 м. Львова на вул. Творчій, 1 ( в т. ч. виготовлення ПКД та проходження експертизи)</t>
  </si>
  <si>
    <t>Капітальний ремонт спортивного майданчика у Львівська гімназія "Євшан" на вул. Любінській, 93-А ( в т. ч. виготовлення ПКД та проходження експертизи)</t>
  </si>
  <si>
    <t>Капітальний ремонт вхідної групи дверей ліцею № 81 ім. П. Сагайдачного Львівської міської ради на вул. Гетьмана І. Мазепи, 1-А</t>
  </si>
  <si>
    <t>Придбання лапараскопічної стійки для надання медичної допомоги пацієнтам хірургічного профілю КНП "5-а міська клінічна лікарня м. Львова", вул. Генерала Т. Чупринки, 45</t>
  </si>
  <si>
    <t>Придбання обладнання із забезпечення вимог пакету медичних гарантів для КНП "Лікарня "Госпіс" м. Львова", вул. І. Котляревського, 53</t>
  </si>
  <si>
    <t>Придбання УЗД апарата для КНП "1-а міська поліклініка м. Львова", вул. Руській, 20</t>
  </si>
  <si>
    <t xml:space="preserve">Капітальний ремонт центру терапії, у якому надають медичну допомогу пацієнтам з гострою респіраторною хворобою Covid-19, спричиненою коронавірусом SARS-COV-2), КНП "Клінічна лікарня швидкої медичної допомоги м. Львова" на вул. Миколайчука, 9 </t>
  </si>
  <si>
    <t>Капітальний ремонт благоустрою прилеглої території Комунального некомерційного підприємства "Клінічна лікарня швидкої медичної допомоги м. Львова" на вул. І. Миколайчука, 9</t>
  </si>
  <si>
    <t>Реконструкція будівлі під створення відділення паліативної допомоги з надбудовою 4-го поверху та прибудовою сходової клітки Комунальної 4-ї міської клінічної лікарні на вул. Ю. Мушака, 54</t>
  </si>
  <si>
    <t>Додаткові роботи "Реконструкція будівлі під створення відділення паліативної допомоги з надбудовою 4-го поверху та прибудовою сходової клітки Комунальної 4-ї міської клінічної лікарні на вул. Ю. Мушака, 54"</t>
  </si>
  <si>
    <t>Реконструкція зовнішнього електропостачання будівлі Комунального некомерційного підприємства "4-та міська клінічна лікарня м. Львова" за адресою: вул. Ю. Мушака, 54 у м. Львові</t>
  </si>
  <si>
    <t>Реконструкція зовнішнього електропостачання будівельного майданчика Комунального некомерційного підприємства "4-та міська клінічна лікарня м. Львова" за адресою вул. Ю. Мушака, 54 у м. Львові</t>
  </si>
  <si>
    <t>Капітальний ремонт котельні Комунального некомерційного підприємства "4-та міська клінічна лікарня м. Львова" за адресою: вул. Ю. Мушака, 54 у м. Львові</t>
  </si>
  <si>
    <t xml:space="preserve">Капітальний ремонт із заміни системи теплопостачання поліклінічного відділення № 1 за адресою: вул. Генерала Т. Чупринки, 43 </t>
  </si>
  <si>
    <t>Капітальний ремонт приміщень Комунальної установи змішаного типу "Львівський міський центр реабілітації "Джерело" за адресою: вул. І. Миколайчука, 24</t>
  </si>
  <si>
    <t xml:space="preserve">Встановлення перегородок з ПВХ профілю для влаштування на вході пункту охорони Центру соціальної підтримки осіб з числа дітей-сиріт та дітей, позбавлених батьківського піклування, і внутрішньо переміщених осіб </t>
  </si>
  <si>
    <t>Реконструкція спортивного комплексу на вул. Кастелівці, 8</t>
  </si>
  <si>
    <t>Реконструкція нежитлового приміщення під клуб єдиноборств за адресою: вул. Стрийська, 87</t>
  </si>
  <si>
    <t>Будівництво роздягалень на території ДЮСШ 4 на вул. А. Вахнянина, 1</t>
  </si>
  <si>
    <t>Будівництво спортивного майданчика для кросфіту за адресою: м. Львів, вул. І. Пулюя</t>
  </si>
  <si>
    <t>Реконструкція спортивного майданчика за адресою: м. Львів, вул. І. Лаврівського - вул. Генерала Т. Чупринки (Білогорща)</t>
  </si>
  <si>
    <t>Будівництво велосипедної доріжки на просп. В. Чорновола (від вул. В. Липинського до вул. Варшавської), вул. Варшавській (від просп. В. Чорновола до вул. Замарстинівської), вул. Замарстинівській (від вул. Варшавської до вул. Гетьмана І. Мазепи)</t>
  </si>
  <si>
    <t>Реконструкція вул. Зеленої (від вул. Дж. Вашингтона до вул. Луганської)</t>
  </si>
  <si>
    <t>Розроблення детального плану території у районі вул. Хуторівки, залізничної колії</t>
  </si>
  <si>
    <t>Капітальний ремонт гроту в парку "Високий Замок"</t>
  </si>
  <si>
    <t>Розроблення проекту організації парку-пам'ятки садово-паркового мистецтва місцевого значення "Снопківський"</t>
  </si>
  <si>
    <t>Реконструкція аварійної алеї парку-пам'ятки садово-паркового мистецтва місцевого значення "Високий Замок" від теле-радіовежі Львівської Філії Концерну РРТ до вул. М. Кривоноса (1 черга) (коригування ПКД)</t>
  </si>
  <si>
    <t>Капітальний ремонт частини парку "Горіховий гай" зі сторони вул. Куликівської</t>
  </si>
  <si>
    <t>Реставрація кургану та верхнього оглядового майданчика в парку-пам'ятці садово-паркового мистецтва місцевого значення "Високий Замок" (в т. ч. розробка ПКД)</t>
  </si>
  <si>
    <t>Виконання Міської цільової програми приведення до санітарного стану житла, яке належить на праві власності або користування дітям-сиротам, дітям, позбавленим батьківського піклування, та особам з їх числа, на період 2014-2030 років</t>
  </si>
  <si>
    <t>Придбання обладнання та предметів довгострокового користування для облаштування мистецького простору "Пулюй" в ліцеї І. Пулюя на вул. І. Пулюя, 16</t>
  </si>
  <si>
    <t>Капітальний ремонт комп'ютерної лабораторії у ліцеї "Львівський" на вул. Лисеницькій, 3</t>
  </si>
  <si>
    <t>Капітальний ремонт території внутрішнього дворику НВК "Школи-садка "Софія" на вул. Героїв Крут, 27</t>
  </si>
  <si>
    <t>Капітальний ремонт майданчика ліцею № 2 ЛМР на вул. Науковій, 24-А</t>
  </si>
  <si>
    <t>Капітальний ремонт території з влаштуванням вуличних тренажерів у ліцеї "Львівський" на вул. Лисеницькій, 3</t>
  </si>
  <si>
    <t xml:space="preserve">Капітальний ремонт подвір'я з улаштуванням бруківки СЗШ № 49 на вул. Ольги Басараб, 4 </t>
  </si>
  <si>
    <t>Капітальний ремонт дороги з улаштуванням тротуару біля ясел-садка ДНЗ № 41 "Ластівка" на вул. Генерала М. Тарнавського, 100-А у м. Львові</t>
  </si>
  <si>
    <t xml:space="preserve">Капітальний ремонт дитячих майданчиків (Мережа спортивного та дитячого дозвілля на вул. Сяйво, Широкій/ Планерній, Вигоди (Левандівка) </t>
  </si>
  <si>
    <t>Капітальний ремонт парку "Підгори" (на розі вул. Личаківська - вул. О. Бахматюка)</t>
  </si>
  <si>
    <t>Капітальний ремонт вул. Генерала В. Курмановича (від вул. Данила Апостола до вул. Рудненської)</t>
  </si>
  <si>
    <t>Капітальний ремонт дороги на вул. Івасюка у м. Винники</t>
  </si>
  <si>
    <t>Модернізація системи відеоспостереження міста</t>
  </si>
  <si>
    <t>Облаштування системи відеонагляду у Рясне-1, Рясне-2, Кам'янці</t>
  </si>
  <si>
    <t>Капітальний ремонт Першого академічного українського театру для дітей та юнацтва на вул. Академіка В. Гнатюка, 11</t>
  </si>
  <si>
    <t>Капітальний ремонт приміщення дитячої школи мистецтв № 5 м. Львова на вул. Стрийській, 79</t>
  </si>
  <si>
    <t>Ремонтно-реставраційні роботи інтер'єрів будинку на просп. Т. Шевченка, 23 у м. Львові, пам'ятки архітектури місцевого значення, охоронний № 5710-Лв</t>
  </si>
  <si>
    <t>Керівництво і управління у сфері державної реєстрації</t>
  </si>
  <si>
    <t>Капітальний ремонт глядацької зали Першого академічного українського театру для дітей та юнацтва на вул. Академіка В. Гнатюка, 11</t>
  </si>
  <si>
    <t>придбання</t>
  </si>
  <si>
    <t>басейн</t>
  </si>
  <si>
    <t>Аварійні</t>
  </si>
  <si>
    <t>Відновлення ЗДО</t>
  </si>
  <si>
    <t>Вікна</t>
  </si>
  <si>
    <t>опалення</t>
  </si>
  <si>
    <t>Покрівлі</t>
  </si>
  <si>
    <t>Пожежна</t>
  </si>
  <si>
    <t>Санвузли</t>
  </si>
  <si>
    <t>Спортзали</t>
  </si>
  <si>
    <t>Харчоблоки</t>
  </si>
  <si>
    <t>Стадіони</t>
  </si>
  <si>
    <t>ЗДО</t>
  </si>
  <si>
    <t>ОТГ</t>
  </si>
  <si>
    <t>борги</t>
  </si>
  <si>
    <t xml:space="preserve">вид робіт </t>
  </si>
  <si>
    <t>район</t>
  </si>
  <si>
    <t>лшмд</t>
  </si>
  <si>
    <t>МДКЛ</t>
  </si>
  <si>
    <t>1МКЛ</t>
  </si>
  <si>
    <t>4МКЛ</t>
  </si>
  <si>
    <t>8МКЛ</t>
  </si>
  <si>
    <t>ЛШМД</t>
  </si>
  <si>
    <t>4МП</t>
  </si>
  <si>
    <t>3мкл</t>
  </si>
  <si>
    <t>4мкл</t>
  </si>
  <si>
    <t>8мкл</t>
  </si>
  <si>
    <t>5мкл</t>
  </si>
  <si>
    <t>2мп</t>
  </si>
  <si>
    <t>4мп</t>
  </si>
  <si>
    <t>5мп</t>
  </si>
  <si>
    <t>6мп</t>
  </si>
  <si>
    <t>6сп</t>
  </si>
  <si>
    <t>5МКЛ</t>
  </si>
  <si>
    <t>Госпіс</t>
  </si>
  <si>
    <t>6МП</t>
  </si>
  <si>
    <t>3МП</t>
  </si>
  <si>
    <t>1МП</t>
  </si>
  <si>
    <t>ПБ№1</t>
  </si>
  <si>
    <t>с</t>
  </si>
  <si>
    <t>ш</t>
  </si>
  <si>
    <t>ф</t>
  </si>
  <si>
    <t>г</t>
  </si>
  <si>
    <t>л</t>
  </si>
  <si>
    <t>Розпорядник</t>
  </si>
  <si>
    <t>ШРА та ЗРА</t>
  </si>
  <si>
    <t>СРА та ЛРА</t>
  </si>
  <si>
    <t>ГРА та ФРА</t>
  </si>
  <si>
    <t xml:space="preserve">ГРА </t>
  </si>
  <si>
    <t>Титул</t>
  </si>
  <si>
    <t>ЛРА СРА</t>
  </si>
  <si>
    <t>ЛРА ШРА</t>
  </si>
  <si>
    <t>Капітальний ремонт спортивного майданчика ліцею № 75 ім. Лесі Українки Львівської міської ради на вул. В. Караджича, 7</t>
  </si>
  <si>
    <t>Придбання обладнання для новоствореного відділення реанімації КНП "Міська дитяча клінічна лікарня м. Львова" на вул. Пилипа Орлика, 4</t>
  </si>
  <si>
    <t xml:space="preserve">Субвенція державному бюджету на капітальний ремонт приміщень навчально-виробничого корпусу № 2 Міжрегіонального центру професійно-технічної освіти художнього моделювання і дизайну м. Львова на вул. Городоцькій, 193 </t>
  </si>
  <si>
    <t>3,2 арлекіно</t>
  </si>
  <si>
    <t>200 000,00</t>
  </si>
  <si>
    <t>300 000,00</t>
  </si>
  <si>
    <t>Капітальний ремонт вестибюлю із заміною внутрішніх дверей та облаштуванням інтерактивно-креативного простору у ліцеї "Гроно" ЛМР на вул. Вигоди, 27</t>
  </si>
  <si>
    <t>Капітальний ремонт блоків вхідних дверей з облаштуванням сходової площадки та пандусу для забезпечення доступності у ліцеї "Гроно" ЛМР на вул. Вигоди, 27</t>
  </si>
  <si>
    <t>0218230</t>
  </si>
  <si>
    <t>0619800</t>
  </si>
  <si>
    <t>Виконання комплексної програми підтримки учасників антитерористичної операції та членів їх сімей, постраждалих учасників Революції Гідності та членів їх сімей, членів сімей Героїв Небесної Сотні – мешканців м. Львова</t>
  </si>
  <si>
    <t>Придбання обладнання і предметів довгострокового користування у ліцеї ім. В. Симоненка ЛМР на вул. В. Симоненка, 6 у м. Львові</t>
  </si>
  <si>
    <t>Капітальний ремонт з проведенням протиаварійних робіт спортивного залу НВК ім. В. Стуса на вул. Повстанській, 14 у м. Львові</t>
  </si>
  <si>
    <t>Проведення невідкладних аварійно-відновлювальних робіт із виведення з аварійного стану окремих конструкційних елементів будівлі ліцею № 70 ЛМР на вул. Дорога Кривчицька, 1</t>
  </si>
  <si>
    <t>Капітальний ремонт із заміною вікон у ліцеї № 2 ЛМР на вул. Володимира Великого, 55-А у м. Львові</t>
  </si>
  <si>
    <t>Капітальний ремонт приміщень другого поверху із облаштуванням сучасного освітнього простору у ЛМВ ім. В. Стуса ЛМР на вул. Повстанській, 14</t>
  </si>
  <si>
    <t>Виготовлення ПКД на капітальний ремонт приміщень Львівської загальноосвітньої школи І-ІІІ ступенів № 74 Львівської міської ради Львівської області у смт. Рудно на вул. І. Огієнка, 9 з метою створення школи мистецтв</t>
  </si>
  <si>
    <t>Ремонтно-реставраційні роботи даху ЛСЗШ східних мов та східних бойових мистецтв "Будокан" з поглибленням вивченням іноземних мов на вул. В. Шухевича, 2 у м. Львові</t>
  </si>
  <si>
    <t>Ремонтно-реставраційні роботи санвузлів у Львівській академічній гімназії на вул. С. Бандери, 14 у м. Львові</t>
  </si>
  <si>
    <t>Капітальний ремонт харчоблоку СЗШ І-ІІІ ст. № 74 у смт. Рудно на вул. І. Огієнка, 9</t>
  </si>
  <si>
    <t>Капітальний ремонт спортивного майданчика у ліцеї № 2 ЛМР на вул. Володимира Великого, 55-А у м. Львові</t>
  </si>
  <si>
    <t>Капітальний ремонт спортивного майданчика в СЗШ І-ІІІ ступенів № 55 на вул. С. Бандери, 91 (в т. ч. виготовлення ПКД та проведення експертизи проекту)</t>
  </si>
  <si>
    <t>Капітальний ремонт спортивного майданчика у загальноосвітній середній школі І-ІІІ ступенів "Лідер" з різними формами навчання на вул. М. Некрасова, 59 у м. Львові</t>
  </si>
  <si>
    <t>Капітальний ремонт стадіону у Львівській загальноосвітній школі І-ІІІ ст. № 43 на вул. Т. Масарика, 9 у м. Львові</t>
  </si>
  <si>
    <t>Капітальний ремонт спортивного майданчика ЛУГГ на вул. Олени Степанівни, 13 у м. Львові</t>
  </si>
  <si>
    <t>Капітальний ремонт покрівлі СЗШ № 96 на вул. О. Довженка, 13</t>
  </si>
  <si>
    <t>Придбання обладнання і предметів довгострокового користування для Львівської середньої загальноосвітньої школи І-ІІІ ступенів № 44 ім. Т. Г. Шевченка на вул. Я. Пстрака, 1</t>
  </si>
  <si>
    <t>Придбання обладнання і предметів довгострокового користування для облаштування бібліотеки СЗШ № 34 ім. М. Шашкевича на вул. Замкненій, 6</t>
  </si>
  <si>
    <t>Капітальний ремонт приміщень з метою облаштування бібліотеки "Сучасна бібліотека-сучасний простір" в СЗШ № 34 ім. М. Шашкевича на вул. Замкненій, 6</t>
  </si>
  <si>
    <t>Капітальний ремонт дитячих майданчиків в ЗДО № 32, вул. М. Коцюбинського, 21-А</t>
  </si>
  <si>
    <t>Капітальний ремонт огорожі у ПШ "Світанок" на вул. С. Петлюри, 43-А</t>
  </si>
  <si>
    <t>Капітальний ремонт приміщення львівської середньої загальноосвітньої школи І-ІІІ ступенів №44 ім. Т.Г. Шевченка на вул. Я. Пстрака, 1</t>
  </si>
  <si>
    <t xml:space="preserve">Капітальний ремонт огорожі у Львівській загальноосвітній школі І-ІІІ ступенів № 74 Львівської міської ради Львівської області на вул. І. Огієнка, 9 у смт. Рудне </t>
  </si>
  <si>
    <t xml:space="preserve">Капітальний ремонт території у Львівській загальноосвітній школі І-ІІІ ступенів № 74 Львівської міської ради Львівської області на вул. І. Огієнка, 9 у смт. Рудне </t>
  </si>
  <si>
    <t>Придбання обладнання та предметів довготривалого користування для ЛУГГ ім. Олени Степанів з поглибленим вивченням українознавства та англійської мови на вул. Олени Степанівни, 13 у м. Львові</t>
  </si>
  <si>
    <t>Капітальний ремонт системи опалення СЗШ № 60 на вул. Сигнівці, 1</t>
  </si>
  <si>
    <t>Капітальний ремонт приміщень СЗШ № 60 на вул.  Сигнівці, 1 (в т. ч. виготовлення ПКД та проведення експертизи проекту)</t>
  </si>
  <si>
    <t>Реконструкція житлового фонду ОСББ та ЖБК м. Львова</t>
  </si>
  <si>
    <t>Проведення експертизи проектно-кошторисної документації по об`єкту "Ремонтно-реставраційні роботи приміщень Львівського міського територіального центру соціального обслуговування (надання соціальних послуг) за адресою м. Львів, вул. М. Коперника, 16"</t>
  </si>
  <si>
    <t>Ремонтно-реставраційні роботи приміщень Львівського міського територіального центру соціального обслуговування (надання соціальних послуг) за адресою м. Львів, вул. М. Коперника, 16</t>
  </si>
  <si>
    <t>гра</t>
  </si>
  <si>
    <t>1416014</t>
  </si>
  <si>
    <t>Забезпечення збору та вивезення сміття і відходів</t>
  </si>
  <si>
    <t>6014</t>
  </si>
  <si>
    <t>Придбання обладнання та предметів довгострокового користування для громадської станції роздільного збору вторинної сировини на вул. Панаса Мирного, 13</t>
  </si>
  <si>
    <t>1417310</t>
  </si>
  <si>
    <t>Реконструкція майданчика ТПВ в подвір'ї будинку по вул. Повітряній, 92, шляхом встановлення підземних контейнерів місткістю 5 куб. м</t>
  </si>
  <si>
    <t>Капітальний ремонт громадської станції роздільного збору вторинної сировини на вул. Панаса Мирного, 13</t>
  </si>
  <si>
    <t>Капітальний ремонт території середньої загальноосвітньої школи № 32 на вул. Я. Гашека, 13</t>
  </si>
  <si>
    <t>Капітальний ремонт басейну СЗШ № 96 на вул. О. Довженка, 13 (в т. ч. виготовлення ПКД та проведення експертизи проекту)</t>
  </si>
  <si>
    <t>Капітальний ремонт харчоблоку з облаштуванням лінії роздачі у ліцеї "Гроно" Львівської міської ради на вул. Вигоди, 27 (в т. ч. виготовлення ПКД та проведення експертизи проекту)</t>
  </si>
  <si>
    <t>Електропостачання будівлі школи, СЗШ № 72 за адресою: м. Львів, вул. Зубрівська, 1 (капітальний ремонт)</t>
  </si>
  <si>
    <t>зміни</t>
  </si>
  <si>
    <t>Капітальний ремонт зовнішньої системи водовідведення з підключенням до міської водоприймальної мережі в ліцеї № 10 (колишня СЗШ № 10) імені святої Марії Магдалени на вул. Генерала Т. Чупринки, 1 (в т. ч. виготовлення ПКД та експертиза проекту)</t>
  </si>
  <si>
    <t>Капітальний ремонт харчоблоку ЛЗШ І-ІІІ ступенів № 82 на вул. П. Шафарика, 13</t>
  </si>
  <si>
    <t>Капітальний ремонт їдальні "Смакота" в СЗШ № 98 на вул. К. Трильовського, 12</t>
  </si>
  <si>
    <t>Капітальний ремонт стадіону СЗШ № 98 Львівської міської ради на вул. К. Трильовського, 12</t>
  </si>
  <si>
    <t>Капітальний ремонт спортивного майданчика та стадіону середньої загальноосвітньої школи № 84 імені Блаженної Йосафати Гордашевської на вул. Зубрівській, 30</t>
  </si>
  <si>
    <t>Реконструкція даху кардіологічного корпусу  КНП  "8-а міська клінічна лікарня м. Львова" на вул. В. Навроцького, 23</t>
  </si>
  <si>
    <t>Придбання низькотемпературного стерилізатора  для стерилізації хірургічного інструментарію та обладнання КНП "3-я міська клінічна лікарня м. Львова"</t>
  </si>
  <si>
    <t>Придбання низькотемпературного стерилізатора для стерилізації хірургічного інструментарію та обладнання КНП "8-а міська клінічна лікарня м. Львова"</t>
  </si>
  <si>
    <t>0712152</t>
  </si>
  <si>
    <t>0763</t>
  </si>
  <si>
    <t>Інші програми та заходи у сфері охорони здоров'я</t>
  </si>
  <si>
    <t>Придбання обладнання для установ охорони здоров´я</t>
  </si>
  <si>
    <t>Капітальний ремонт гідроізоляції фундаменту  та дренажу будівлі ПШ "Світанок" на вул. С. Петлюри, 43-А (в т. ч. виготовлення ПКД та проведення експертизи проекту)</t>
  </si>
  <si>
    <t>Капітальний ремонт спортивного майданчика ліцею № 45 ЛМР на вул. Науковій, 25</t>
  </si>
  <si>
    <t>Капітальний ремонт спортивного майданчика для ЛЗШ І-ІІІ ступенів № 74 ЛМР ЛО смт. Рудне на вул. І. Огієнка, 9</t>
  </si>
  <si>
    <t>Капітальний ремонт фасаду та гідроізоляції фундаменту ЗДО № 18 на вул. вул. Гіпсовій, 36-Б (в т. ч. виготовлення ПКД та проведення експертизи проекту)</t>
  </si>
  <si>
    <t>Капітальний ремонт системи опалення в ліцеї "Сихівський" на вул. І. Хоткевича, 48  (в т. ч. виготовлення ПКД та проведення експертизи проекту)</t>
  </si>
  <si>
    <t>в т. ч.лізинг</t>
  </si>
  <si>
    <t>Реконструкція бібліотеки-філії № 41 ЦБС для дорослих смт. Рудне, вул. М. Грушевського, 70</t>
  </si>
  <si>
    <t xml:space="preserve">Внески до статутного капіталу ЛКП "Культурно-мистецький центр "Супутник" для придбання комплекту відеокамер </t>
  </si>
  <si>
    <t xml:space="preserve">Внески до статутного капіталу ЛКП "Львівський центральний парк культури і відпочинку ім. Б. Хмельницького" для придбання обладнання та предметів довагострокового користування для атракціонів </t>
  </si>
  <si>
    <t>Придбання обладнання і предметів довгострокового користування для Класичної гімназії при Львівському національному університеті імені Івана Франка на вул. Пороховій, 3 в м. Львові</t>
  </si>
  <si>
    <t>Придбання обладнання і предметів довгострокового користування для ліцею № 52 на вул. М. Гоголя, 17 у рамках реалізації проектів "Привітна школа"</t>
  </si>
  <si>
    <t>Капітальний ремонт системи пожежної сигналізації та оповіщення людей про пожежу у Львівській українській гуманітарній гімназії ім. О. Степанів на вул. О. Степанівни, 13</t>
  </si>
  <si>
    <t>Капітальний ремонт системи опалення ЗСШ "Лідер" на вул. М. Некрасова, 59 (в т. ч. виготовлення ПКД та проведення експертизи проекту)</t>
  </si>
  <si>
    <t>Придбання музичних інструментів для шкіл мистецтв Львівської МТГ (м. Дубляни, м. Винники, смт. Брюховичі, м. Львів)</t>
  </si>
  <si>
    <t>Придбання обладнання та предметів довгострокового користування для шкіл мистецтв Львівської МТГ (м. Дубляни, м. Винники, смт. Брюховичі, м. Львів)</t>
  </si>
  <si>
    <t>Придбання обладнання та предметів довгострокового користування для бібліотек-філій Львівської МТГ (с. Малехів, с. Великі Грибовичі, с. Малі Грибовичі, с. Ситихів, с. Збиранка, с. Гряда, с. Воля-Гамулецька, с. Зашків, с. Завадів, с. Зарудці, с. Лисиничі, с. Підбірці, с. Рясне-Руське, с. Підрясне, м. Дубляни, м. Винники, смт. Рудне, смт. Брюховичі, м. Львів)</t>
  </si>
  <si>
    <t>Придбання книг для поповнення бібліотечних фондів бібліотек-філій Львівської МТГ (с. Малехів, с. Великі Грибовичі, с. Малі Грибовичі, с. Ситихів, с. Збиранка, с. Гряда, с. Воля-Гамулецька, с. Зашків, с. Завадів, с. Зарудці, с. Лисиничі, с. Підбірці, с. Рясне-Руське, с. Підрясне, м. Дубляни, м. Винники, смт. Рудне, смт. Брюховичі, м. Львів)</t>
  </si>
  <si>
    <t>Придбання періодики для поповнення бібліотечних фондів бібліотек-філій Львівської МТГ (с. Малехів, с. Великі Грибовичі, с. Малі Грибовичі, с. Ситихів, с. Збиранка, с. Гряда, с. Воля-Гамулецька, с. Зашків, с. Завадів, с. Зарудці, с. Лисиничі, с. Підбірці, с. Рясне-Руське, с. Підрясне, м. Дубляни, м. Винники, смт. Рудне, смт. Брюховичі, м. Львів )</t>
  </si>
  <si>
    <t>Придбання обладнання та предметів довгострокового користування для народних домів Львівської МТГ (с. Малехів, с. Великі Грибовичі, с. Малі Грибовичі, с. Ситихів, с. Збиранка, с. Гряда, с. Воля-Гамулецька, с. Зашків, с. Завадів, с. Зарудці, с. Лисиничі, с. Підбірці, с. Рясне-Руське, с. Підрясне, м. Дубляни, м. Винники, смт. Рудне, смт. Брюховичі, м. Львів)</t>
  </si>
  <si>
    <t>Капітальний ремонт частини території Музею народної архітектури та побуту у Львові імені Климентія Шептицького з встановленням копії (репліки) дзвіниці</t>
  </si>
  <si>
    <t>Влаштування експозиції з музеєфікації об'єкту народного будівництва Музею народної архітектури та побуту у Львові імені Климентія Шептицького</t>
  </si>
  <si>
    <t>Капітальний ремонт народних домів Львівської МТГ (с. Малехів, с. Великі Грибовичі, с. Малі Грибовичі, с. Ситихів, с. Збиранка, с. Гряда, с. Воля-Гамулецька, с. Зашків, с. Завадів, с. Зарудці, с. Лисиничі, с. Підбірці, с. Рясне-Руське, с. Підрясне, м. Дубляни, м. Винники, смт. Рудне, смт. Брюховичі, м. Львів)</t>
  </si>
  <si>
    <t>Капітальний ремонт бібліотеки-філії № 3 на вул. М. Хвильового, 3</t>
  </si>
  <si>
    <t>Капітальний ремонт будівлі Львівської музичної школи № 6 ім. Б-Ю. Янівського на вул. Академіка В. Гнатюка, 5/7</t>
  </si>
  <si>
    <t>Внески до статутного капіталу ЛКП "Культурно-мистецький центр "Супутник" для здійснення реконструкції котельні та облаштування систем опалення і ГВП приміщень кінотеатру "Супутник" у м. Львові</t>
  </si>
  <si>
    <t>Внески до статутного капіталу ЛКП "Культурно-мистецький центр "Супутник" для здійснення капітального ремонту глядацького залу КМЦ "Супутник" на вул. Повітряній, 20 в м. Львові. Протиаварійні роботи по підсиленню перекриття над глядацьким залом</t>
  </si>
  <si>
    <t>Внески до статутного капіталу ЛКП "Львівський кіноцентр" для здійснення завершальних будівельних робіт. Реконструкція приміщень під створення науково-технологічно-мистецько-математичного закладу STEAM SPACE на вул. Науковій, 49 у Львові</t>
  </si>
  <si>
    <t>Внески до статутного капіталу ЛКП "Львівський кіноцентр" для здійснення гідроізоляції фундаменту будівлі ЛКП "Львівський кіноцентр"</t>
  </si>
  <si>
    <t xml:space="preserve">Внески до статутного капіталу ЛКП "Львівський центральний парк культури і відпочинку ім. Б. Хмельницького" для реконструкції будівель спортивного комплексу "Юність". Ганбольний майданчик </t>
  </si>
  <si>
    <t>Внески до статутного капіталу ЛКП "Львівський центральний парк культури і відпочинку ім. Б. Хмельницького" для здійснення реконструкції будівель спортивного комплексу "Юність". Трибуна з вбудованими допоміжними приміщеннями, навіс та коментаторська будка, відновлення підпірної стінки</t>
  </si>
  <si>
    <t xml:space="preserve">Внески до статутного капіталу ЛКП "Культурно-освітній центр ім. О. Довженка" для виготовлення проектно-кошториснної документації на встановлення димовидалення та обігріву кіно-концертної зали на 745  глядацьких місць </t>
  </si>
  <si>
    <t xml:space="preserve">Внески до статутного капіталу ЛКП "Культурно-освітній центр ім. О. Довженка" для виготовлення проектно-кошториснної документації на капітальний ремонт даху будівлі </t>
  </si>
  <si>
    <t>Внески до статутного капіталу ЛКП "Культурно-освітній центр ім. О. Довженка" для здійснення капітального ремонту частини підвальних приміщень будівлі ЛКП "Культурно-освітній центр ім. О. Довженка за адресою просп. Червоної Калини, 81 (улаштування гримерок з виходами на сцену)</t>
  </si>
  <si>
    <t>Внески до статутного капіталу ЛКП "Культурно-освітній центр ім. О. Довженка" для здіснення капітального ремонту приміщень ЛКП "Культурно-освітній центр ім. О. Довженка"</t>
  </si>
  <si>
    <t>Внески до статутного капіталу ЛКП "Культурно-освітній центр ім. О. Довженка" для здійснення капітального ремонту санвузлів з влаштування вентиляції ЛКП "Культурно-освітній центр ім. О. Довженка"</t>
  </si>
  <si>
    <t>Внески до статутного капіталу ЛКП "Культурно-освітній центр ім. О. Довженка" для здійснення капітальних робіт з заміни труб водопостачання та пожежогасіння ЛКП "Культурно-освітній центр ім. О. Довженка"</t>
  </si>
  <si>
    <t xml:space="preserve">Капітальний ремонт приміщень рентген кабінету КНП "4-а міська клінічна лікарня м. Львова" за адресою: вул. О. Фредра, 2 </t>
  </si>
  <si>
    <t>Капітальний ремонт гідроізоляції фундаментів будівлі з проведенням благоустрою території та облаштування громадського простору комунального некомерційного підприємства "2-а міська поліклініка м. Львова" на вул. В. Симоненка, 4</t>
  </si>
  <si>
    <t>Будівництво скейт-парку на вул. Любінській, 93</t>
  </si>
  <si>
    <t>Капітальний ремонт скейт-парку на вул. Стрийській, 61 в т. ч. виготовлення ПКД</t>
  </si>
  <si>
    <t>Ухвала 313 11.03.2021</t>
  </si>
  <si>
    <t>Ухвала 31 04.02.2021</t>
  </si>
  <si>
    <t>2080</t>
  </si>
  <si>
    <t xml:space="preserve"> - Придбання відеоендоскопічного обладнання для КНП "З-я міська поліклініка м. Львова"</t>
  </si>
  <si>
    <t xml:space="preserve">Гарантії </t>
  </si>
  <si>
    <t>ДЖГІ/титул</t>
  </si>
  <si>
    <t>Розробка та виготовлення проектно-кошторисної документації по об’єкту "Будівля міського архіву з громадським центром на вул. Трускавецькій – вул. І. Пулюя у м. Львові"</t>
  </si>
  <si>
    <t>Громадські вбиральні</t>
  </si>
  <si>
    <t>РАЦС (благоустрій)</t>
  </si>
  <si>
    <t>Гараж ЛМР, вул. К.Левицького 72, ( виготовлення ПКД, заміна брами, облаштування мийки)</t>
  </si>
  <si>
    <t>Будівля Ратуша, пл.Ринок, 1</t>
  </si>
  <si>
    <t xml:space="preserve">Поточний ремонт </t>
  </si>
  <si>
    <t>правої сходової 1-4 поверхи м. Львів, пл. Ринок, 1</t>
  </si>
  <si>
    <t>І  поверх</t>
  </si>
  <si>
    <t>ІІ  поверх</t>
  </si>
  <si>
    <t>ІІІ  поверх</t>
  </si>
  <si>
    <t>IV поверх</t>
  </si>
  <si>
    <t>V поверх</t>
  </si>
  <si>
    <t>ДАП/титул</t>
  </si>
  <si>
    <t xml:space="preserve"> - Влаштування автоматичної системи пожежогасіння в приміщенні концертного залу із ремонтом внутрішнього протипожежного водопроводу ЦТДЮГ за адресою м. Львів вул. Вахнянина, 29 (капітальний ремонт)</t>
  </si>
  <si>
    <t xml:space="preserve"> - Влаштування димного захисту в приміщенні концертного залу ЦТДЮГ за адресою м. Львів вул. Вахнянина, 29 (капітальний ремонт)</t>
  </si>
  <si>
    <t xml:space="preserve"> - Влаштування пожежної сигналізації СЗШ № 31 на вул. Княгині Ольги, 104 </t>
  </si>
  <si>
    <t xml:space="preserve"> - Влаштування блискавкозахисту у ЗСШ І-ІІІ ступеня "Лідер" на вул. Некрасова, 59</t>
  </si>
  <si>
    <t xml:space="preserve"> - Влаштування пожежної сигналізації СЗШ № 65 на вул. Роксоляни, 35  </t>
  </si>
  <si>
    <t xml:space="preserve"> - Влаштування пожежної сигналізації Ліцею № 15 Львівської міської ради на вул. Є. Патона, 7 </t>
  </si>
  <si>
    <t>Ухвала 11.03.2021 № 312 (фін)</t>
  </si>
  <si>
    <t xml:space="preserve">Придбання обладнання та предметів довгострокового користування для забезпечення виконання комплексної програми профілактики злочинності у м. Львові </t>
  </si>
  <si>
    <t xml:space="preserve">Капітальний ремонт об'єктів житлово-комунального господарства приєднаних територій Львівської МТГ </t>
  </si>
  <si>
    <t>Придбання обладнання та предметів довгострокового користування для природоохоронної рекреаційної установи парку-пам'ятки садово-паркового мистецтва загальнодержавного значення "Стрийський парк"</t>
  </si>
  <si>
    <t>Капітальний ремонт комплексу вольєрів для реабілітації птахів РЛП "Знесіння"</t>
  </si>
  <si>
    <t xml:space="preserve">Реконструкція мереж зовнішнього електропостачання нежитлових будівель, Природоохоронна рекреаційна установа парк-пам’ятка садово-паркового мистецтва загальнодержавного значення "Стрийський парк" за адресою: м. Львів, вул. Стрийська, 15 </t>
  </si>
  <si>
    <t>Внески до статутного капіталу ЛКП "Зелений Львів" на реконструкцію парку ім. Папи Римського Івана Павла ІІ у м. Львові</t>
  </si>
  <si>
    <t>Внески до статутного капіталу ЛКП "Зелений Львів" на капітальний ремонт центральної алеї та прилеглих територій парку "Замарстинівський"</t>
  </si>
  <si>
    <t>Внески до статутного капіталу ЛКП "Зелений Львів" на капітальний ремонт парку "Скнилівський"</t>
  </si>
  <si>
    <t>Внески до статутного капіталу ЛКП "Зелений Львів" на капітальний ремонт доріжки від меморіалу пам'яті Героїв Небесної сотні за адресою вул. М. Кривоноса, 11 до вул. Піша у м. Львові (в т. ч. виготовлення ПКД)</t>
  </si>
  <si>
    <t>Внески до статутного капіталу ЛКП "Зелений Львів" на будівництво дитячо-спортивного майданчика на вул. Повітряній, 20 у м. Львові. Коригування</t>
  </si>
  <si>
    <t>Внески до статутного капіталу ЛКП "Зелений Львів" на реконструкцію будівлі одноповерхової на вул. Замарстинівській, 167-А (в т. ч. виготовлення ПКД)</t>
  </si>
  <si>
    <t>Внески до статутного капіталу ЛКП "Зелений Львів" на придбання з встановленням дитячого майданчика у парку "Високий Замок"</t>
  </si>
  <si>
    <t>Внески до статутного капіталу ЛКП "Зелений Львів" на реставрацію ротонди в парку І. Франка (в т. ч. виготовлення ПКД)</t>
  </si>
  <si>
    <t>Капітальний ремонт стадіону ліцею № 70 на вул. Дорога Кривчицька, 1</t>
  </si>
  <si>
    <t>Придбання функціональних ліжок для КНП "Клінічна лікарня швидкої медичної допомоги м. Львова" на вул. І. Миколайчука, 9</t>
  </si>
  <si>
    <t>Капітальний ремонт Центру терапії КНП "Клінічна лікарня швидкої медичної допомоги м. Львова" на вул. І. Миколайчука, 9</t>
  </si>
  <si>
    <t>1117670</t>
  </si>
  <si>
    <t>Внески до статутного капіталу ЛКП “Палац ігрових видів спорту“</t>
  </si>
  <si>
    <t>Придбання житла для дітей-сиріт, дітей, позбавлених батьківського піклування, та осіб з їх числа</t>
  </si>
  <si>
    <t>Капітальний ремонт алеї (від вул. Хуторівки до вул. В. Вернадського)</t>
  </si>
  <si>
    <t>Капітальний ремонт вул. Старознесенської</t>
  </si>
  <si>
    <t>Капітальний ремонт вул. Академіка Р. Кучера, в т. ч. ПКД</t>
  </si>
  <si>
    <t>Капітальний ремонт доріг та тротуарів вул. Яворницького, від будинку № 8 до вул. Р. Караджича</t>
  </si>
  <si>
    <t>Капітальний ремонт (з каналізуванням) вул. Розточчя, вул. Нагірної</t>
  </si>
  <si>
    <t>Капітальний ремонт просп. В. Чорновола, вул. Сорочинської, 2-6</t>
  </si>
  <si>
    <t>Будівництво шляхопроводу на перехресті вулиць Т. Шевченка - о. Омеляна Ковча</t>
  </si>
  <si>
    <t>1219770</t>
  </si>
  <si>
    <t>Субвенція обласному бюджету на завершення будівництва розсадницького комплексу ДП "Львівський лісовий селекційно-насіннєвий центр"</t>
  </si>
  <si>
    <t>Капітальний ремонт території площі Коліївщини (співфінансування по проекту "ReHERIT: Спільна відповідальність за спільну спадщину")</t>
  </si>
  <si>
    <t>Ремонтно-реставраційні роботи будинку на просп. Свободи, 1-3 у м. Львові, пам'ятки архітектури місцевого значення, охоронний №5260-Лв</t>
  </si>
  <si>
    <t>Ремонтно-реставраційні роботи будинку на пл. Ринок, 14 у м. Львові, пам'ятки архітектури національного значення, охоронний № 326/13</t>
  </si>
  <si>
    <t>Ремонтно-реставраційні роботи будинку на пл. Ринок, 15 у м. Львові, пам'ятки архітектури національного значення, охоронний № 326/14</t>
  </si>
  <si>
    <t>2021-2025</t>
  </si>
  <si>
    <t>3617370</t>
  </si>
  <si>
    <t xml:space="preserve">Реалізація інших заходів щодо соціально-економічного розвитку територій                                      </t>
  </si>
  <si>
    <t>Викуп для суспільних потреб земельних ділянок (інших об'єктів нерухомого майна), які перебувають у власності фізичних осіб, з метою будівництва вул. Ряшівської (проектованої) з транспортними розв'язками від вул. Кульпарківської до вул. Є. Патона</t>
  </si>
  <si>
    <t>Капітальний ремонт вул. Щепової</t>
  </si>
  <si>
    <t xml:space="preserve">Зобов'язання щодо забезпечення виконання умов договорів фінансового лізингу </t>
  </si>
  <si>
    <t xml:space="preserve">Внески до статутного капіталу КНП "Клінічна лікарня швидкої медичної допомоги м. Львова" </t>
  </si>
  <si>
    <t>Співфінансування інвестиційних проектів - місцевий внесок</t>
  </si>
  <si>
    <t>Внески до статутного капіталу ЛМКП "Львівводоканал" - проект "Реконструкція очисних споруджень та будівництва станції переробки мулу для виробництва біогазу для когенерації у м. Львові"</t>
  </si>
  <si>
    <t>Внески до статутного капіталу ЛКП "Львівавтодор" - проект "Впровадження автоматизованої системи оплати проїзду у місті Львові"</t>
  </si>
  <si>
    <t>Внески до статутного капіталу ЛКП "Львівелектротранс" - реалізація підпроекту “Капітальний ремонт трамвайних вагонів з модернізацією (переобладнанням) для забезпечення перевезення пасажирів з обмеженою мобільністю“ у рамках проекту “Міський громадський транспорт України“</t>
  </si>
  <si>
    <r>
      <t xml:space="preserve">Внески до статутного капіталу ЛК АТП № 1 - реалізація підпроекту - “Придбання автобусів (100 великих одиниць)“ у рамках проекту “Міський громадський транспорт України“ </t>
    </r>
    <r>
      <rPr>
        <sz val="13"/>
        <color rgb="FFFF0000"/>
        <rFont val="Arial"/>
        <family val="2"/>
        <charset val="204"/>
      </rPr>
      <t>за винятком виробників країн агресорів та країн проти яких введені санкції</t>
    </r>
  </si>
  <si>
    <t>Внески до статутного капіталу ЛКП "Зелене місто" - "Будівництво механіко-біологічного комплексу з перевантаження та переробки твердих побутових відходів "</t>
  </si>
  <si>
    <t>Внески до статутного капіталу ЛКП "Зелене місто" - "Виконання робіт з рекультивації Грибовицького сміттєзвалища (фаза 1)"</t>
  </si>
  <si>
    <t>Внески до статутного капіталу ЛКП "Зелене місто" - "Закупівля комплексу обладнання для очистки фільтрату Грибовицького сміттєзвалища з пропускною здатністю до 300 м3/добу"</t>
  </si>
  <si>
    <t>Капітальні видатки на будівництво об'єктів житлово-комунального господарства</t>
  </si>
  <si>
    <t>Внески до статутного капіталу ЛМКП "Львівводоканал" для підготовчих робіт на майданчику ЛВК на реалізацію проекту "Біогаз" (погодження комісії фінансів та планування бюджету)</t>
  </si>
  <si>
    <t>Внески до статутного капіталу ЛМКП "Львівводоканал" на реконструкцію хлораторних насосних станції по переводу їх з реагенту хлор-газ на розчин гіпохлориту натрію (погодження комісії фінансів та планування бюджету)</t>
  </si>
  <si>
    <t>Внески до статутного капіталу ЛМКП "Львівводоканал" на ремонт магістральних водопроводів (погодження комісії фінансів та планування бюджету)</t>
  </si>
  <si>
    <t>Внески до статутного капіталу ЛМКП "Львівводоканал" на роботи по каналізуванню та водопостачанню (погодження комісії фінансів та планування бюджету)</t>
  </si>
  <si>
    <t>Внески до статутного капіталу ЛМКП "Львівводоканал" на реконструкцію каналізаційного колектора у парку "Скнилівський" (погодження комісії фінансів та планування бюджету)</t>
  </si>
  <si>
    <t>Внески до статутного капіталу ЛМКП "Львівводоканал" на будівництво КНС в смт. Рудне (погодження комісії фінансів та планування бюджету)</t>
  </si>
  <si>
    <t>Внески до статутного капіталу ЛМКП "Львівводоканал" на каналізування вул. Загірної (погодження комісії фінансів та планування бюджету)</t>
  </si>
  <si>
    <t>Внески до статутного капіталу ЛМКП "Львівводоканал" на каналізування вул. Прилбицької (погодження комісії фінансів та планування бюджету)</t>
  </si>
  <si>
    <t>Внески до статутного капіталу ЛКП "Львівавтодор" на капітальний ремонт та облаштування велосипедної та пішохідної інфраструктури на території парку ім. Івана Павла II (погодження комісії фінансів та планування бюджету)</t>
  </si>
  <si>
    <t>Внески до статутного капіталу ЛКП "Львівавтодор" на будівництво дороги в промзоні "Сигнівка" (від вул. Північної до вул. Конюшинної) (погодження комісії фінансів та планування бюджету)</t>
  </si>
  <si>
    <r>
      <t xml:space="preserve">Внески до статутного капіталу ЛМКП "Львівтеплоенерго" на реконструкцію підвальної газової котельні на вул. У. Самчука, 13 </t>
    </r>
    <r>
      <rPr>
        <sz val="13"/>
        <color rgb="FFFF0000"/>
        <rFont val="Arial"/>
        <family val="2"/>
        <charset val="204"/>
      </rPr>
      <t>(погодження комісії фінансів та планування бюджету)</t>
    </r>
  </si>
  <si>
    <r>
      <t xml:space="preserve">Внески до статутного капіталу ЛМКП "Львівтеплоенерго" на реконструкцію підвальної газової котельні по вул. Личаківській, 81 </t>
    </r>
    <r>
      <rPr>
        <sz val="13"/>
        <color rgb="FFFF0000"/>
        <rFont val="Arial"/>
        <family val="2"/>
        <charset val="204"/>
      </rPr>
      <t>(погодження комісії фінансів та планування бюджету)</t>
    </r>
  </si>
  <si>
    <r>
      <t xml:space="preserve">Внески до статутного капіталу ЛМКП "Львівтеплоенерго" на ліквідацію підвальної котельні на вул. Східній, 7 з встановленням індивідуального опалення у 8-ми квартирах </t>
    </r>
    <r>
      <rPr>
        <sz val="13"/>
        <color rgb="FFFF0000"/>
        <rFont val="Arial"/>
        <family val="2"/>
        <charset val="204"/>
      </rPr>
      <t>(погодження комісії фінансів та планування бюджету)</t>
    </r>
  </si>
  <si>
    <r>
      <t xml:space="preserve">Внески до статутного капіталу ЛМКП "Львівтеплоенерго" на реконструкцію економайзера парового котла "Борзіг" ст. № 9, автоматизація ПК-6, ПКД на ремонт ПК-8  </t>
    </r>
    <r>
      <rPr>
        <sz val="13"/>
        <color rgb="FFFF0000"/>
        <rFont val="Arial"/>
        <family val="2"/>
        <charset val="204"/>
      </rPr>
      <t>(погодження комісії фінансів та планування бюджету)</t>
    </r>
  </si>
  <si>
    <r>
      <t xml:space="preserve">Внески до статутного капіталу ЛМКП "Львівтеплоенерго" на реалізацію ТУ ЛМКП "Львівводоканал" для ІТП  </t>
    </r>
    <r>
      <rPr>
        <sz val="13"/>
        <color rgb="FFFF0000"/>
        <rFont val="Arial"/>
        <family val="2"/>
        <charset val="204"/>
      </rPr>
      <t>(погодження комісії фінансів та планування бюджету)</t>
    </r>
  </si>
  <si>
    <r>
      <t xml:space="preserve">Внески до статутного капіталу ЛМКП "Львівтеплоенерго" на ремонт теплових мереж </t>
    </r>
    <r>
      <rPr>
        <sz val="13"/>
        <color rgb="FFFF0000"/>
        <rFont val="Arial"/>
        <family val="2"/>
        <charset val="204"/>
      </rPr>
      <t>(погодження комісії фінансів та планування бюджету)</t>
    </r>
  </si>
  <si>
    <r>
      <t xml:space="preserve">Внески до статутного капіталу ЛКП "Залізничнетеплоенерго" на реконструкцію котельні на вул. Широкій, 79-А </t>
    </r>
    <r>
      <rPr>
        <sz val="13"/>
        <color rgb="FFFF0000"/>
        <rFont val="Arial"/>
        <family val="2"/>
        <charset val="204"/>
      </rPr>
      <t>(погодження комісії фінансів та планування бюджету)</t>
    </r>
  </si>
  <si>
    <r>
      <t xml:space="preserve">Внески до статутного капіталу ЛКП "Львівсвітло" на реконструкцію зовнішнього освітлення на вул. І. Величковського </t>
    </r>
    <r>
      <rPr>
        <sz val="13"/>
        <color rgb="FFFF0000"/>
        <rFont val="Arial"/>
        <family val="2"/>
        <charset val="204"/>
      </rPr>
      <t>(погодження комісії фінансів та планування бюджету)</t>
    </r>
  </si>
  <si>
    <r>
      <t xml:space="preserve">Внески до статутного капіталу ЛКП "Львівсвітло" на влаштування елементів доступності для осіб з </t>
    </r>
    <r>
      <rPr>
        <sz val="13"/>
        <color rgb="FFFF0000"/>
        <rFont val="Arial"/>
        <family val="2"/>
        <charset val="204"/>
      </rPr>
      <t>обмеженими можливостями (погодження комісії фінансів та планування бюджету)</t>
    </r>
  </si>
  <si>
    <t>Внески до статутного капіталу ЛКП "Львівсвітло" на освітлення вулиць (погодження комісії фінансів та планування бюджету)</t>
  </si>
  <si>
    <t>Внески до статутного капіталу ЛКП "Львівелектротранс" на ремонт рухомого складу (погодження комісії фінансів та планування бюджету)</t>
  </si>
  <si>
    <t>Внески до статутного капіталу ЛКП "Львівелектротранс" на заміну аварійних ділянок колії, відновлення дорожнього покриття (погодження комісії фінансів та планування бюджету)</t>
  </si>
  <si>
    <t>Внески до статутного капіталу ЛКП "Львівелектротранс" на заміну аварійних ділянок контактної мережі, встановлення опор (погодження комісії фінансів та планування бюджету)</t>
  </si>
  <si>
    <t>Внески до статутного капіталу ЛКП "Львівелектротранс" на капітальний ремонт КЛ 0,6 кВ фідер "Стуса" ПС-14 - АСБ 1х800 - 2х 450 м з встановленням додаткової комірки (погодження комісії фінансів та планування бюджету)</t>
  </si>
  <si>
    <t>Внески до статутного капіталу ЛКП "Львівелектротранс" на придбання комплекту безканавних підйомників (погодження комісії фінансів та планування бюджету)</t>
  </si>
  <si>
    <t>Внески до статутного капіталу ЛК АТП № 1 на приєднання до електричних мереж ПрАТ "Львівобленерго" на вул. В. Вернадського (погодження комісії фінансів та планування бюджету)</t>
  </si>
  <si>
    <t>Внески до статутного капіталу ЛКП "Агенція ресурсів Львівської міської ради" на ремонтно-реставраційні роботи на вул. Гуцульській, 9</t>
  </si>
  <si>
    <t>Внески до статутного капіталу ЛКП "Агенція ресурсів Львівської міської ради" для ремонтно-реставраційних робіт адмінбудинку на пл. Галицькій, 15 у м. Львові</t>
  </si>
  <si>
    <t>Внески до статутного капіталу ЛКП "Агенція ресурсів Львівської міської ради" для капітального ремонту даху нежитлової будівлі на вул. А. Тесленка, 2 у м. Львові</t>
  </si>
  <si>
    <t>Внески до статутного капіталу ЛКП "Агенція ресурсів Львівської міської ради" для капітального ремонту даху громадської будівлі за адресою: м. Винники, вул. Галицька, 12</t>
  </si>
  <si>
    <t>Внески до статутного капіталу ЛКП "Агенція ресурсів Львівської міської ради" для капітального ремонту перекриття та заміни внутрішніх мереж адміністративної будівлі в м. Винники вул. І. Крипякевича, 2</t>
  </si>
  <si>
    <t>Внески до статутного капіталу ЛКП "Зелене місто" для станція очистки фільтратів/облаштування нового трубопроводу (погодження комісії фінансів та планування бюджету)</t>
  </si>
  <si>
    <t>Внески до статутного капіталу ЛКП "Зелене місто" на обладнання для станції компостування (погодження комісії фінансів та планування бюджету)</t>
  </si>
  <si>
    <t>Внески до статутного капіталу ЛКП "Зелене місто" для підключення електропостачання до МБТ заводу (погодження комісії фінансів та планування бюджету)</t>
  </si>
  <si>
    <t>Забезпечення безперебійного функціонування комунальних підприємств</t>
  </si>
  <si>
    <t>Капітальний ремонт території подвір'я ДНЗ на вул. В. Стуса, 1-А в с. Великі Грибовичі</t>
  </si>
  <si>
    <t>0617325</t>
  </si>
  <si>
    <t>Ухвала № 25.03.2021</t>
  </si>
  <si>
    <t>Ухвала № 29 29.12.2021</t>
  </si>
  <si>
    <t>Внески до статутного капіталу суб`єктів господарювання</t>
  </si>
  <si>
    <t>=ОСНОВНЕ!</t>
  </si>
  <si>
    <t>=ОСНОВНЕ!A38</t>
  </si>
  <si>
    <t>Лізинг ЛКП "Ратуша-сервіс"</t>
  </si>
  <si>
    <t xml:space="preserve">Лізинг ЛКП "ШРП Шевченківського району"  </t>
  </si>
  <si>
    <t>Лізинг ЛМКП "Львівводоканал"</t>
  </si>
  <si>
    <t xml:space="preserve">Лізинг ЛКП "Львівавтодор" </t>
  </si>
  <si>
    <t>лізинг КНП "Клінічна лікарня швидкої медичної допомоги м. Львова"</t>
  </si>
  <si>
    <t>лізинг КНП "Міська дитяча клінічна лікарня м. Львова"</t>
  </si>
  <si>
    <t>лізинг КНП "8-а міська клінічна лікарня м. Львова"</t>
  </si>
  <si>
    <t>лізинг</t>
  </si>
  <si>
    <t>ПДВ за трамваї</t>
  </si>
  <si>
    <t>зарплата за січень</t>
  </si>
  <si>
    <t>аванс за лютий</t>
  </si>
  <si>
    <t>електроенергія</t>
  </si>
  <si>
    <t xml:space="preserve">Лізинг ЛК АТП № 1  </t>
  </si>
  <si>
    <t>гарантії</t>
  </si>
  <si>
    <t>Утр/титул</t>
  </si>
  <si>
    <t>Заг</t>
  </si>
  <si>
    <t xml:space="preserve">Лізинг ЛКП "Міський центр інформаційних технологій"  </t>
  </si>
  <si>
    <t>Інтернетизація шкіл</t>
  </si>
  <si>
    <t>Розвиток інформаційних систем з інтеграцією з системою документообігу</t>
  </si>
  <si>
    <t>Розвиток та підпримка реєстру територіальної громади м. Львова</t>
  </si>
  <si>
    <t>Інформаційна безпека (КСЗІ, забезпечення унеможливлення втрати даних. Відновлення ІС та БД після збоїв. Система запобігання вторгнень від зовнішніх загроз)</t>
  </si>
  <si>
    <t xml:space="preserve">Розвиток та підпримка відкритих даних та геоінформаційного порталу </t>
  </si>
  <si>
    <t>Закупівля основних засобів( удосконалення системи відеозв’язку, підмінне обладнання)</t>
  </si>
  <si>
    <t>Модернізація компютерної мережі в приміщеннях Львівської міської ради та її структурних підрозділах</t>
  </si>
  <si>
    <t>Закупівля програмного забезпечення (Windows: серверні та термінальні ліцензії, fortigate та інше)</t>
  </si>
  <si>
    <t>Профілактичні роботи в серверній (обслуговування системи охолодження,ББЖ та ін)</t>
  </si>
  <si>
    <t xml:space="preserve">зарплата </t>
  </si>
  <si>
    <t xml:space="preserve">Лізинг ЛКП "Муніципальна варта" </t>
  </si>
  <si>
    <t>УБМ/титул</t>
  </si>
  <si>
    <t>ДЕР/титул</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</si>
</sst>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0.0"/>
    <numFmt numFmtId="166" formatCode="0.0"/>
    <numFmt numFmtId="167" formatCode="* _-#,##0&quot;р.&quot;;* \-#,##0&quot;р.&quot;;* _-&quot;-&quot;&quot;р.&quot;;@"/>
  </numFmts>
  <fonts count="48">
    <font>
      <sz val="11"/>
      <color theme="1"/>
      <name val="Calibri"/>
      <family val="2"/>
      <charset val="204"/>
      <scheme val="minor"/>
    </font>
    <font>
      <sz val="11"/>
      <color theme="1"/>
      <name val="Calibri"/>
      <family val="2"/>
      <charset val="204"/>
      <scheme val="minor"/>
    </font>
    <font>
      <sz val="10"/>
      <name val="Times New Roman"/>
      <family val="1"/>
      <charset val="204"/>
    </font>
    <font>
      <sz val="13"/>
      <color theme="1"/>
      <name val="Arial"/>
      <family val="2"/>
      <charset val="204"/>
    </font>
    <font>
      <b/>
      <sz val="13"/>
      <color theme="1"/>
      <name val="Arial"/>
      <family val="2"/>
      <charset val="204"/>
    </font>
    <font>
      <sz val="13"/>
      <name val="Arial"/>
      <family val="2"/>
      <charset val="204"/>
    </font>
    <font>
      <sz val="12"/>
      <name val="Arial"/>
      <family val="2"/>
      <charset val="204"/>
    </font>
    <font>
      <sz val="12"/>
      <color theme="1"/>
      <name val="Arial"/>
      <family val="2"/>
      <charset val="204"/>
    </font>
    <font>
      <sz val="13"/>
      <color rgb="FFC00000"/>
      <name val="Arial"/>
      <family val="2"/>
      <charset val="204"/>
    </font>
    <font>
      <b/>
      <sz val="13"/>
      <name val="Arial"/>
      <family val="2"/>
      <charset val="204"/>
    </font>
    <font>
      <sz val="13"/>
      <name val="Svoboda"/>
      <family val="2"/>
    </font>
    <font>
      <sz val="13"/>
      <color rgb="FFFF0000"/>
      <name val="Arial"/>
      <family val="2"/>
      <charset val="204"/>
    </font>
    <font>
      <b/>
      <sz val="13"/>
      <color rgb="FFC00000"/>
      <name val="Arial"/>
      <family val="2"/>
      <charset val="204"/>
    </font>
    <font>
      <sz val="10"/>
      <name val="Arial Cyr"/>
      <charset val="204"/>
    </font>
    <font>
      <sz val="10"/>
      <name val="Arial Cyr"/>
      <family val="2"/>
      <charset val="204"/>
    </font>
    <font>
      <sz val="14"/>
      <name val="Arial"/>
      <family val="2"/>
      <charset val="204"/>
    </font>
    <font>
      <sz val="15"/>
      <name val="Arial"/>
      <family val="2"/>
      <charset val="204"/>
    </font>
    <font>
      <b/>
      <sz val="15"/>
      <name val="Arial"/>
      <family val="2"/>
      <charset val="204"/>
    </font>
    <font>
      <sz val="10"/>
      <name val="Arial"/>
      <family val="2"/>
      <charset val="204"/>
    </font>
    <font>
      <sz val="11"/>
      <color indexed="8"/>
      <name val="Calibri"/>
      <family val="2"/>
      <charset val="204"/>
    </font>
    <font>
      <sz val="11"/>
      <color theme="1"/>
      <name val="Calibri"/>
      <family val="2"/>
      <scheme val="minor"/>
    </font>
    <font>
      <sz val="11"/>
      <color rgb="FF000000"/>
      <name val="Calibri"/>
      <family val="2"/>
      <charset val="204"/>
    </font>
    <font>
      <b/>
      <sz val="9"/>
      <color indexed="81"/>
      <name val="Tahoma"/>
      <family val="2"/>
      <charset val="204"/>
    </font>
    <font>
      <sz val="9"/>
      <color indexed="81"/>
      <name val="Tahoma"/>
      <family val="2"/>
      <charset val="204"/>
    </font>
    <font>
      <sz val="10"/>
      <color rgb="FF000000"/>
      <name val="Arial"/>
      <family val="2"/>
      <charset val="204"/>
    </font>
    <font>
      <sz val="11"/>
      <color theme="1"/>
      <name val="Arial"/>
      <family val="2"/>
      <charset val="204"/>
    </font>
    <font>
      <sz val="12"/>
      <color rgb="FF000000"/>
      <name val="Arial"/>
      <family val="2"/>
      <charset val="204"/>
    </font>
    <font>
      <sz val="10"/>
      <name val="Times New Roman"/>
      <family val="1"/>
      <charset val="204"/>
    </font>
    <font>
      <b/>
      <sz val="10"/>
      <name val="Arial"/>
      <family val="2"/>
      <charset val="204"/>
    </font>
    <font>
      <sz val="11"/>
      <color indexed="20"/>
      <name val="Calibri"/>
      <family val="2"/>
      <charset val="204"/>
    </font>
    <font>
      <b/>
      <sz val="11"/>
      <color indexed="63"/>
      <name val="Calibri"/>
      <family val="2"/>
      <charset val="204"/>
    </font>
    <font>
      <i/>
      <sz val="11"/>
      <color indexed="23"/>
      <name val="Calibri"/>
      <family val="2"/>
      <charset val="204"/>
    </font>
    <font>
      <b/>
      <sz val="11"/>
      <color indexed="8"/>
      <name val="Calibri"/>
      <family val="2"/>
      <charset val="204"/>
    </font>
    <font>
      <sz val="11"/>
      <color indexed="9"/>
      <name val="Calibri"/>
      <family val="2"/>
      <charset val="204"/>
    </font>
    <font>
      <b/>
      <sz val="11"/>
      <color indexed="52"/>
      <name val="Calibri"/>
      <family val="2"/>
      <charset val="204"/>
    </font>
    <font>
      <sz val="11"/>
      <color indexed="60"/>
      <name val="Calibri"/>
      <family val="2"/>
      <charset val="204"/>
    </font>
    <font>
      <sz val="10"/>
      <name val="Helv"/>
      <charset val="204"/>
    </font>
    <font>
      <sz val="10"/>
      <name val="Courier New"/>
      <family val="3"/>
      <charset val="204"/>
    </font>
    <font>
      <b/>
      <sz val="13"/>
      <name val="Svoboda"/>
      <family val="2"/>
    </font>
    <font>
      <i/>
      <sz val="12"/>
      <color theme="1"/>
      <name val="Arial"/>
      <family val="2"/>
      <charset val="204"/>
    </font>
    <font>
      <i/>
      <sz val="13"/>
      <name val="Arial"/>
      <family val="2"/>
      <charset val="204"/>
    </font>
    <font>
      <b/>
      <i/>
      <sz val="12"/>
      <color theme="1"/>
      <name val="Arial"/>
      <family val="2"/>
      <charset val="204"/>
    </font>
    <font>
      <i/>
      <sz val="13"/>
      <color rgb="FFC00000"/>
      <name val="Arial"/>
      <family val="2"/>
      <charset val="204"/>
    </font>
    <font>
      <i/>
      <sz val="13"/>
      <color theme="1"/>
      <name val="Arial"/>
      <family val="2"/>
      <charset val="204"/>
    </font>
    <font>
      <i/>
      <sz val="13"/>
      <name val="Svoboda"/>
      <charset val="204"/>
    </font>
    <font>
      <i/>
      <sz val="13"/>
      <name val="Svoboda"/>
      <family val="2"/>
    </font>
    <font>
      <i/>
      <sz val="13"/>
      <color rgb="FFFF0000"/>
      <name val="Arial"/>
      <family val="2"/>
      <charset val="204"/>
    </font>
    <font>
      <b/>
      <i/>
      <sz val="13"/>
      <name val="Arial"/>
      <family val="2"/>
      <charset val="204"/>
    </font>
  </fonts>
  <fills count="33">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rgb="FFFF0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11"/>
      </patternFill>
    </fill>
    <fill>
      <patternFill patternType="solid">
        <fgColor indexed="51"/>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theme="9" tint="0.39997558519241921"/>
        <bgColor indexed="64"/>
      </patternFill>
    </fill>
    <fill>
      <patternFill patternType="solid">
        <fgColor theme="5" tint="0.39997558519241921"/>
        <bgColor indexed="64"/>
      </patternFill>
    </fill>
    <fill>
      <patternFill patternType="solid">
        <fgColor rgb="FF00B0F0"/>
        <bgColor indexed="64"/>
      </patternFill>
    </fill>
    <fill>
      <patternFill patternType="solid">
        <fgColor theme="7" tint="0.59999389629810485"/>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thin">
        <color indexed="64"/>
      </right>
      <top/>
      <bottom/>
      <diagonal/>
    </border>
  </borders>
  <cellStyleXfs count="79">
    <xf numFmtId="0" fontId="0" fillId="0" borderId="0"/>
    <xf numFmtId="0" fontId="2" fillId="0" borderId="0"/>
    <xf numFmtId="0" fontId="2" fillId="0" borderId="0"/>
    <xf numFmtId="0" fontId="13" fillId="0" borderId="0"/>
    <xf numFmtId="0" fontId="14" fillId="0" borderId="0"/>
    <xf numFmtId="0" fontId="2" fillId="0" borderId="0"/>
    <xf numFmtId="0" fontId="2" fillId="0" borderId="0"/>
    <xf numFmtId="0" fontId="1" fillId="0" borderId="0"/>
    <xf numFmtId="0" fontId="18" fillId="0" borderId="0"/>
    <xf numFmtId="0" fontId="1" fillId="0" borderId="0"/>
    <xf numFmtId="0" fontId="2" fillId="0" borderId="0"/>
    <xf numFmtId="0" fontId="19" fillId="0" borderId="0"/>
    <xf numFmtId="0" fontId="2" fillId="0" borderId="0"/>
    <xf numFmtId="0" fontId="13" fillId="0" borderId="0"/>
    <xf numFmtId="0" fontId="2" fillId="0" borderId="0"/>
    <xf numFmtId="0" fontId="13" fillId="0" borderId="0"/>
    <xf numFmtId="0" fontId="20" fillId="0" borderId="0"/>
    <xf numFmtId="0" fontId="21" fillId="0" borderId="0"/>
    <xf numFmtId="0" fontId="2" fillId="0" borderId="0"/>
    <xf numFmtId="0" fontId="24" fillId="0" borderId="0"/>
    <xf numFmtId="0" fontId="18" fillId="0" borderId="0"/>
    <xf numFmtId="0" fontId="25" fillId="0" borderId="0"/>
    <xf numFmtId="9" fontId="1" fillId="0" borderId="0" applyFont="0" applyFill="0" applyBorder="0" applyAlignment="0" applyProtection="0"/>
    <xf numFmtId="43" fontId="1" fillId="0" borderId="0" applyFont="0" applyFill="0" applyBorder="0" applyAlignment="0" applyProtection="0"/>
    <xf numFmtId="0" fontId="27" fillId="0" borderId="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7" borderId="0" applyNumberFormat="0" applyBorder="0" applyAlignment="0" applyProtection="0"/>
    <xf numFmtId="0" fontId="19" fillId="11" borderId="0" applyNumberFormat="0" applyBorder="0" applyAlignment="0" applyProtection="0"/>
    <xf numFmtId="0" fontId="19" fillId="14" borderId="0" applyNumberFormat="0" applyBorder="0" applyAlignment="0" applyProtection="0"/>
    <xf numFmtId="0" fontId="19" fillId="18" borderId="0" applyNumberFormat="0" applyBorder="0" applyAlignment="0" applyProtection="0"/>
    <xf numFmtId="0" fontId="33" fillId="20" borderId="0" applyNumberFormat="0" applyBorder="0" applyAlignment="0" applyProtection="0"/>
    <xf numFmtId="0" fontId="33" fillId="15" borderId="0" applyNumberFormat="0" applyBorder="0" applyAlignment="0" applyProtection="0"/>
    <xf numFmtId="0" fontId="33" fillId="17" borderId="0" applyNumberFormat="0" applyBorder="0" applyAlignment="0" applyProtection="0"/>
    <xf numFmtId="0" fontId="33" fillId="21"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13" fillId="0" borderId="0"/>
    <xf numFmtId="0" fontId="33" fillId="25" borderId="0" applyNumberFormat="0" applyBorder="0" applyAlignment="0" applyProtection="0"/>
    <xf numFmtId="0" fontId="33" fillId="26" borderId="0" applyNumberFormat="0" applyBorder="0" applyAlignment="0" applyProtection="0"/>
    <xf numFmtId="0" fontId="33" fillId="27" borderId="0" applyNumberFormat="0" applyBorder="0" applyAlignment="0" applyProtection="0"/>
    <xf numFmtId="0" fontId="33" fillId="21" borderId="0" applyNumberFormat="0" applyBorder="0" applyAlignment="0" applyProtection="0"/>
    <xf numFmtId="0" fontId="33" fillId="22" borderId="0" applyNumberFormat="0" applyBorder="0" applyAlignment="0" applyProtection="0"/>
    <xf numFmtId="0" fontId="33" fillId="24" borderId="0" applyNumberFormat="0" applyBorder="0" applyAlignment="0" applyProtection="0"/>
    <xf numFmtId="0" fontId="30" fillId="28" borderId="5" applyNumberFormat="0" applyAlignment="0" applyProtection="0"/>
    <xf numFmtId="0" fontId="34" fillId="28" borderId="4" applyNumberFormat="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3" fillId="0" borderId="0"/>
    <xf numFmtId="0" fontId="13" fillId="0" borderId="0"/>
    <xf numFmtId="0" fontId="37" fillId="0" borderId="0"/>
    <xf numFmtId="0" fontId="37" fillId="0" borderId="0"/>
    <xf numFmtId="0" fontId="37" fillId="0" borderId="0"/>
    <xf numFmtId="0" fontId="37" fillId="0" borderId="0"/>
    <xf numFmtId="0" fontId="37" fillId="0" borderId="0"/>
    <xf numFmtId="0" fontId="32" fillId="0" borderId="6" applyNumberFormat="0" applyFill="0" applyAlignment="0" applyProtection="0"/>
    <xf numFmtId="0" fontId="35" fillId="19" borderId="0" applyNumberFormat="0" applyBorder="0" applyAlignment="0" applyProtection="0"/>
    <xf numFmtId="0" fontId="19" fillId="0" borderId="0"/>
    <xf numFmtId="0" fontId="29" fillId="9" borderId="0" applyNumberFormat="0" applyBorder="0" applyAlignment="0" applyProtection="0"/>
    <xf numFmtId="0" fontId="31" fillId="0" borderId="0" applyNumberFormat="0" applyFill="0" applyBorder="0" applyAlignment="0" applyProtection="0"/>
    <xf numFmtId="0" fontId="19" fillId="16" borderId="7" applyNumberFormat="0" applyFont="0" applyAlignment="0" applyProtection="0"/>
    <xf numFmtId="0" fontId="36" fillId="0" borderId="0"/>
    <xf numFmtId="167" fontId="28" fillId="0" borderId="0" applyFont="0" applyFill="0" applyBorder="0" applyAlignment="0" applyProtection="0"/>
    <xf numFmtId="0" fontId="2" fillId="0" borderId="0"/>
  </cellStyleXfs>
  <cellXfs count="371">
    <xf numFmtId="0" fontId="0" fillId="0" borderId="0" xfId="0"/>
    <xf numFmtId="0" fontId="3" fillId="0" borderId="1" xfId="1" applyFont="1" applyFill="1" applyBorder="1" applyAlignment="1">
      <alignment horizontal="center" vertical="top" wrapText="1"/>
    </xf>
    <xf numFmtId="4" fontId="3" fillId="0" borderId="1" xfId="1" applyNumberFormat="1" applyFont="1" applyFill="1" applyBorder="1" applyAlignment="1">
      <alignment horizontal="center" vertical="top" wrapText="1"/>
    </xf>
    <xf numFmtId="4" fontId="3" fillId="2" borderId="1" xfId="1" applyNumberFormat="1" applyFont="1" applyFill="1" applyBorder="1" applyAlignment="1">
      <alignment horizontal="center" vertical="top" wrapText="1"/>
    </xf>
    <xf numFmtId="3" fontId="3" fillId="2" borderId="1" xfId="1" applyNumberFormat="1" applyFont="1" applyFill="1" applyBorder="1" applyAlignment="1">
      <alignment horizontal="center" vertical="top" wrapText="1"/>
    </xf>
    <xf numFmtId="4" fontId="4" fillId="0" borderId="1" xfId="1" applyNumberFormat="1" applyFont="1" applyFill="1" applyBorder="1" applyAlignment="1">
      <alignment horizontal="center" vertical="top" wrapText="1"/>
    </xf>
    <xf numFmtId="4" fontId="3" fillId="0" borderId="1" xfId="1" applyNumberFormat="1" applyFont="1" applyFill="1" applyBorder="1" applyAlignment="1" applyProtection="1">
      <alignment horizontal="center" vertical="top"/>
    </xf>
    <xf numFmtId="0" fontId="8" fillId="0" borderId="0" xfId="1" applyFont="1" applyFill="1" applyAlignment="1">
      <alignment vertical="top"/>
    </xf>
    <xf numFmtId="0" fontId="3" fillId="0" borderId="1" xfId="1" applyNumberFormat="1" applyFont="1" applyFill="1" applyBorder="1" applyAlignment="1" applyProtection="1">
      <alignment horizontal="center"/>
    </xf>
    <xf numFmtId="0" fontId="3" fillId="0" borderId="1" xfId="1" applyNumberFormat="1" applyFont="1" applyBorder="1" applyAlignment="1">
      <alignment horizontal="center" vertical="top" wrapText="1"/>
    </xf>
    <xf numFmtId="0" fontId="3" fillId="0" borderId="1" xfId="1" applyNumberFormat="1" applyFont="1" applyFill="1" applyBorder="1" applyAlignment="1">
      <alignment horizontal="center" vertical="top" wrapText="1"/>
    </xf>
    <xf numFmtId="4" fontId="5" fillId="0" borderId="1" xfId="1" applyNumberFormat="1" applyFont="1" applyFill="1" applyBorder="1" applyAlignment="1">
      <alignment horizontal="center" vertical="top" wrapText="1"/>
    </xf>
    <xf numFmtId="0" fontId="3" fillId="0" borderId="1" xfId="1" applyFont="1" applyFill="1" applyBorder="1"/>
    <xf numFmtId="0" fontId="3" fillId="2" borderId="1" xfId="1" applyFont="1" applyFill="1" applyBorder="1" applyAlignment="1">
      <alignment horizontal="center" vertical="center"/>
    </xf>
    <xf numFmtId="0" fontId="8" fillId="0" borderId="1" xfId="1" applyFont="1" applyFill="1" applyBorder="1" applyAlignment="1">
      <alignment vertical="center"/>
    </xf>
    <xf numFmtId="0" fontId="3" fillId="0" borderId="0" xfId="1" applyNumberFormat="1" applyFont="1" applyFill="1" applyAlignment="1" applyProtection="1"/>
    <xf numFmtId="0" fontId="3" fillId="0" borderId="0" xfId="1" applyNumberFormat="1" applyFont="1" applyFill="1" applyAlignment="1" applyProtection="1">
      <alignment vertical="top"/>
    </xf>
    <xf numFmtId="4" fontId="3" fillId="0" borderId="0" xfId="1" applyNumberFormat="1" applyFont="1" applyFill="1" applyAlignment="1" applyProtection="1">
      <alignment horizontal="center" vertical="top"/>
    </xf>
    <xf numFmtId="0" fontId="3" fillId="0" borderId="0" xfId="1" applyFont="1" applyFill="1" applyAlignment="1">
      <alignment vertical="center"/>
    </xf>
    <xf numFmtId="4" fontId="3" fillId="0" borderId="1" xfId="1" applyNumberFormat="1" applyFont="1" applyBorder="1" applyAlignment="1">
      <alignment horizontal="center" vertical="top" wrapText="1"/>
    </xf>
    <xf numFmtId="4" fontId="8" fillId="0" borderId="0" xfId="1" applyNumberFormat="1" applyFont="1" applyFill="1" applyBorder="1" applyAlignment="1">
      <alignment horizontal="center" vertical="top"/>
    </xf>
    <xf numFmtId="0" fontId="3" fillId="2" borderId="1" xfId="1" applyFont="1" applyFill="1" applyBorder="1" applyAlignment="1">
      <alignment horizontal="center" vertical="top" wrapText="1"/>
    </xf>
    <xf numFmtId="4" fontId="5" fillId="0" borderId="1" xfId="1" applyNumberFormat="1" applyFont="1" applyBorder="1" applyAlignment="1">
      <alignment horizontal="center" vertical="top" wrapText="1"/>
    </xf>
    <xf numFmtId="0" fontId="3" fillId="0" borderId="0" xfId="1" applyFont="1" applyFill="1"/>
    <xf numFmtId="4" fontId="4" fillId="0" borderId="1" xfId="1" applyNumberFormat="1" applyFont="1" applyBorder="1" applyAlignment="1">
      <alignment horizontal="center" vertical="top" wrapText="1"/>
    </xf>
    <xf numFmtId="3" fontId="4" fillId="0" borderId="1" xfId="1" applyNumberFormat="1" applyFont="1" applyBorder="1" applyAlignment="1">
      <alignment horizontal="center" vertical="top" wrapText="1"/>
    </xf>
    <xf numFmtId="3" fontId="3" fillId="0" borderId="1" xfId="1" applyNumberFormat="1" applyFont="1" applyBorder="1" applyAlignment="1">
      <alignment horizontal="center" vertical="top" wrapText="1"/>
    </xf>
    <xf numFmtId="0" fontId="8" fillId="0" borderId="0" xfId="1" applyFont="1" applyFill="1" applyAlignment="1">
      <alignment vertical="center"/>
    </xf>
    <xf numFmtId="0" fontId="8" fillId="0" borderId="0" xfId="1" applyFont="1" applyFill="1"/>
    <xf numFmtId="0" fontId="8" fillId="0" borderId="1" xfId="1" applyFont="1" applyFill="1" applyBorder="1"/>
    <xf numFmtId="4" fontId="8" fillId="0" borderId="1" xfId="1" applyNumberFormat="1" applyFont="1" applyFill="1" applyBorder="1" applyAlignment="1">
      <alignment vertical="center"/>
    </xf>
    <xf numFmtId="0" fontId="8" fillId="0" borderId="1" xfId="1" applyFont="1" applyFill="1" applyBorder="1" applyAlignment="1">
      <alignment vertical="top"/>
    </xf>
    <xf numFmtId="0" fontId="3" fillId="0" borderId="0" xfId="1" applyFont="1" applyFill="1" applyBorder="1"/>
    <xf numFmtId="0" fontId="3" fillId="0" borderId="0" xfId="1" applyFont="1" applyFill="1" applyBorder="1" applyAlignment="1">
      <alignment vertical="center"/>
    </xf>
    <xf numFmtId="0" fontId="8" fillId="0" borderId="0" xfId="1" applyFont="1" applyFill="1" applyBorder="1" applyAlignment="1">
      <alignment vertical="center"/>
    </xf>
    <xf numFmtId="0" fontId="8" fillId="0" borderId="0" xfId="1" applyFont="1" applyFill="1" applyBorder="1"/>
    <xf numFmtId="0" fontId="8" fillId="0" borderId="0" xfId="1" applyFont="1" applyFill="1" applyBorder="1" applyAlignment="1">
      <alignment vertical="top"/>
    </xf>
    <xf numFmtId="0" fontId="5" fillId="0" borderId="0" xfId="1" applyFont="1" applyFill="1" applyBorder="1"/>
    <xf numFmtId="0" fontId="5" fillId="3" borderId="1" xfId="14" applyFont="1" applyFill="1" applyBorder="1" applyAlignment="1">
      <alignment vertical="top" wrapText="1"/>
    </xf>
    <xf numFmtId="0" fontId="5" fillId="0" borderId="1" xfId="1" applyNumberFormat="1" applyFont="1" applyFill="1" applyBorder="1" applyAlignment="1">
      <alignment horizontal="center" vertical="top" wrapText="1"/>
    </xf>
    <xf numFmtId="4" fontId="11" fillId="0" borderId="1" xfId="1" applyNumberFormat="1" applyFont="1" applyFill="1" applyBorder="1" applyAlignment="1">
      <alignment horizontal="center" vertical="top" wrapText="1"/>
    </xf>
    <xf numFmtId="4" fontId="3" fillId="6" borderId="1" xfId="1" applyNumberFormat="1" applyFont="1" applyFill="1" applyBorder="1" applyAlignment="1">
      <alignment horizontal="center" vertical="top" wrapText="1"/>
    </xf>
    <xf numFmtId="0" fontId="11" fillId="0" borderId="1" xfId="1" applyNumberFormat="1" applyFont="1" applyBorder="1" applyAlignment="1">
      <alignment horizontal="center" vertical="top" wrapText="1"/>
    </xf>
    <xf numFmtId="4" fontId="3" fillId="7" borderId="1" xfId="1" applyNumberFormat="1" applyFont="1" applyFill="1" applyBorder="1" applyAlignment="1">
      <alignment horizontal="center" vertical="top" wrapText="1"/>
    </xf>
    <xf numFmtId="4" fontId="7" fillId="0" borderId="3" xfId="1" applyNumberFormat="1" applyFont="1" applyFill="1" applyBorder="1" applyAlignment="1">
      <alignment horizontal="center" vertical="top" wrapText="1"/>
    </xf>
    <xf numFmtId="4" fontId="3" fillId="4" borderId="1" xfId="1" applyNumberFormat="1" applyFont="1" applyFill="1" applyBorder="1" applyAlignment="1">
      <alignment horizontal="center" vertical="top" wrapText="1"/>
    </xf>
    <xf numFmtId="0" fontId="3" fillId="0" borderId="0" xfId="1" applyNumberFormat="1" applyFont="1" applyFill="1" applyAlignment="1" applyProtection="1">
      <alignment vertical="top"/>
    </xf>
    <xf numFmtId="0" fontId="3" fillId="0" borderId="0" xfId="1" applyFont="1" applyFill="1"/>
    <xf numFmtId="4" fontId="3" fillId="0" borderId="0" xfId="1" applyNumberFormat="1" applyFont="1" applyFill="1" applyAlignment="1" applyProtection="1">
      <alignment horizontal="center" vertical="top"/>
    </xf>
    <xf numFmtId="0" fontId="3" fillId="0" borderId="1" xfId="1" applyFont="1" applyBorder="1" applyAlignment="1">
      <alignment horizontal="center" vertical="top" wrapText="1"/>
    </xf>
    <xf numFmtId="4" fontId="4" fillId="0" borderId="1" xfId="1" applyNumberFormat="1" applyFont="1" applyBorder="1" applyAlignment="1">
      <alignment horizontal="center" vertical="top" wrapText="1"/>
    </xf>
    <xf numFmtId="0" fontId="8" fillId="0" borderId="0" xfId="1" applyFont="1" applyFill="1" applyAlignment="1">
      <alignment vertical="center"/>
    </xf>
    <xf numFmtId="4" fontId="3" fillId="0" borderId="1" xfId="1" applyNumberFormat="1" applyFont="1" applyBorder="1" applyAlignment="1">
      <alignment horizontal="center" vertical="top" wrapText="1"/>
    </xf>
    <xf numFmtId="0" fontId="8" fillId="0" borderId="0" xfId="1" applyFont="1" applyFill="1"/>
    <xf numFmtId="4" fontId="8" fillId="0" borderId="0" xfId="1" applyNumberFormat="1" applyFont="1" applyFill="1" applyBorder="1" applyAlignment="1">
      <alignment horizontal="center" vertical="top"/>
    </xf>
    <xf numFmtId="0" fontId="3" fillId="0" borderId="1" xfId="1" applyNumberFormat="1" applyFont="1" applyBorder="1" applyAlignment="1">
      <alignment horizontal="center" vertical="top" wrapText="1"/>
    </xf>
    <xf numFmtId="0" fontId="10" fillId="3" borderId="1" xfId="0" applyFont="1" applyFill="1" applyBorder="1" applyAlignment="1">
      <alignment horizontal="left" vertical="top" wrapText="1"/>
    </xf>
    <xf numFmtId="0" fontId="3" fillId="0" borderId="1" xfId="1" applyFont="1" applyFill="1" applyBorder="1"/>
    <xf numFmtId="0" fontId="3" fillId="2" borderId="1" xfId="1" applyFont="1" applyFill="1" applyBorder="1" applyAlignment="1">
      <alignment horizontal="center" vertical="top" wrapText="1"/>
    </xf>
    <xf numFmtId="4" fontId="3" fillId="2" borderId="1" xfId="1" applyNumberFormat="1" applyFont="1" applyFill="1" applyBorder="1" applyAlignment="1">
      <alignment horizontal="center" vertical="top" wrapText="1"/>
    </xf>
    <xf numFmtId="4" fontId="11" fillId="4" borderId="1" xfId="1" applyNumberFormat="1" applyFont="1" applyFill="1" applyBorder="1" applyAlignment="1">
      <alignment horizontal="center" vertical="top" wrapText="1"/>
    </xf>
    <xf numFmtId="4" fontId="11" fillId="2" borderId="1" xfId="1" applyNumberFormat="1" applyFont="1" applyFill="1" applyBorder="1" applyAlignment="1">
      <alignment horizontal="center" vertical="top" wrapText="1"/>
    </xf>
    <xf numFmtId="4" fontId="5" fillId="6" borderId="1" xfId="1" applyNumberFormat="1" applyFont="1" applyFill="1" applyBorder="1" applyAlignment="1">
      <alignment horizontal="center" vertical="top" wrapText="1"/>
    </xf>
    <xf numFmtId="4" fontId="11" fillId="6" borderId="1" xfId="1" applyNumberFormat="1" applyFont="1" applyFill="1" applyBorder="1" applyAlignment="1">
      <alignment horizontal="center" vertical="top" wrapText="1"/>
    </xf>
    <xf numFmtId="4" fontId="3" fillId="6" borderId="1" xfId="1" applyNumberFormat="1" applyFont="1" applyFill="1" applyBorder="1" applyAlignment="1" applyProtection="1">
      <alignment horizontal="center" vertical="top"/>
    </xf>
    <xf numFmtId="4" fontId="4" fillId="0" borderId="1" xfId="1" applyNumberFormat="1" applyFont="1" applyBorder="1" applyAlignment="1">
      <alignment horizontal="center" vertical="top" wrapText="1"/>
    </xf>
    <xf numFmtId="0" fontId="8" fillId="0" borderId="0" xfId="1" applyFont="1" applyFill="1" applyAlignment="1">
      <alignment vertical="center"/>
    </xf>
    <xf numFmtId="4" fontId="3" fillId="0" borderId="1" xfId="1" applyNumberFormat="1" applyFont="1" applyBorder="1" applyAlignment="1">
      <alignment horizontal="center" vertical="top" wrapText="1"/>
    </xf>
    <xf numFmtId="4" fontId="3" fillId="0" borderId="1" xfId="1" applyNumberFormat="1" applyFont="1" applyFill="1" applyBorder="1" applyAlignment="1">
      <alignment horizontal="center" vertical="top" wrapText="1"/>
    </xf>
    <xf numFmtId="0" fontId="3" fillId="0" borderId="1" xfId="1" applyNumberFormat="1" applyFont="1" applyBorder="1" applyAlignment="1">
      <alignment horizontal="center" vertical="top" wrapText="1"/>
    </xf>
    <xf numFmtId="4" fontId="5" fillId="0" borderId="1" xfId="1" applyNumberFormat="1" applyFont="1" applyFill="1" applyBorder="1" applyAlignment="1">
      <alignment horizontal="center" vertical="top" wrapText="1"/>
    </xf>
    <xf numFmtId="0" fontId="8" fillId="0" borderId="1" xfId="1" applyFont="1" applyFill="1" applyBorder="1" applyAlignment="1">
      <alignment vertical="center"/>
    </xf>
    <xf numFmtId="0" fontId="8" fillId="0" borderId="0" xfId="1" applyFont="1" applyFill="1" applyBorder="1" applyAlignment="1">
      <alignment vertical="center"/>
    </xf>
    <xf numFmtId="4" fontId="5" fillId="3" borderId="0" xfId="1" applyNumberFormat="1" applyFont="1" applyFill="1" applyBorder="1" applyAlignment="1">
      <alignment horizontal="center" vertical="top"/>
    </xf>
    <xf numFmtId="0" fontId="6" fillId="3" borderId="1" xfId="1" applyFont="1" applyFill="1" applyBorder="1" applyAlignment="1">
      <alignment horizontal="center" vertical="top" wrapText="1"/>
    </xf>
    <xf numFmtId="0" fontId="6" fillId="3" borderId="3" xfId="1" applyFont="1" applyFill="1" applyBorder="1" applyAlignment="1">
      <alignment horizontal="center" vertical="top" wrapText="1"/>
    </xf>
    <xf numFmtId="4" fontId="6" fillId="3" borderId="3" xfId="1" applyNumberFormat="1" applyFont="1" applyFill="1" applyBorder="1" applyAlignment="1">
      <alignment horizontal="center" vertical="top" wrapText="1"/>
    </xf>
    <xf numFmtId="0" fontId="5" fillId="3" borderId="1" xfId="1" applyFont="1" applyFill="1" applyBorder="1" applyAlignment="1">
      <alignment horizontal="center" vertical="center" wrapText="1"/>
    </xf>
    <xf numFmtId="0" fontId="5" fillId="3" borderId="1" xfId="1" applyFont="1" applyFill="1" applyBorder="1" applyAlignment="1">
      <alignment horizontal="center" vertical="top" wrapText="1"/>
    </xf>
    <xf numFmtId="4" fontId="9" fillId="3" borderId="1" xfId="1" applyNumberFormat="1" applyFont="1" applyFill="1" applyBorder="1" applyAlignment="1">
      <alignment horizontal="center" vertical="top" wrapText="1"/>
    </xf>
    <xf numFmtId="49" fontId="5" fillId="3" borderId="1" xfId="1" applyNumberFormat="1" applyFont="1" applyFill="1" applyBorder="1" applyAlignment="1">
      <alignment horizontal="center" vertical="top" wrapText="1"/>
    </xf>
    <xf numFmtId="0" fontId="5" fillId="3" borderId="1" xfId="1" applyFont="1" applyFill="1" applyBorder="1" applyAlignment="1">
      <alignment vertical="top" wrapText="1"/>
    </xf>
    <xf numFmtId="0" fontId="5" fillId="3" borderId="1" xfId="0" applyFont="1" applyFill="1" applyBorder="1" applyAlignment="1">
      <alignment horizontal="left" vertical="top" wrapText="1"/>
    </xf>
    <xf numFmtId="3" fontId="9" fillId="3" borderId="1" xfId="1" applyNumberFormat="1" applyFont="1" applyFill="1" applyBorder="1" applyAlignment="1">
      <alignment horizontal="center" vertical="top" wrapText="1"/>
    </xf>
    <xf numFmtId="3" fontId="5" fillId="3" borderId="1" xfId="1" applyNumberFormat="1" applyFont="1" applyFill="1" applyBorder="1" applyAlignment="1">
      <alignment horizontal="center" vertical="top" wrapText="1"/>
    </xf>
    <xf numFmtId="4" fontId="5" fillId="3" borderId="1" xfId="1" applyNumberFormat="1" applyFont="1" applyFill="1" applyBorder="1" applyAlignment="1">
      <alignment horizontal="center" vertical="top" wrapText="1"/>
    </xf>
    <xf numFmtId="0" fontId="5" fillId="3" borderId="1" xfId="1" applyFont="1" applyFill="1" applyBorder="1" applyAlignment="1">
      <alignment horizontal="left" vertical="top" wrapText="1"/>
    </xf>
    <xf numFmtId="49" fontId="5" fillId="3" borderId="1" xfId="1" applyNumberFormat="1" applyFont="1" applyFill="1" applyBorder="1" applyAlignment="1">
      <alignment horizontal="center" vertical="top"/>
    </xf>
    <xf numFmtId="49" fontId="5" fillId="3" borderId="1" xfId="0" applyNumberFormat="1" applyFont="1" applyFill="1" applyBorder="1" applyAlignment="1">
      <alignment horizontal="center" vertical="top"/>
    </xf>
    <xf numFmtId="0" fontId="5" fillId="3" borderId="1" xfId="0" applyFont="1" applyFill="1" applyBorder="1" applyAlignment="1">
      <alignment vertical="top" wrapText="1"/>
    </xf>
    <xf numFmtId="0" fontId="5" fillId="3" borderId="1" xfId="1" applyNumberFormat="1" applyFont="1" applyFill="1" applyBorder="1" applyAlignment="1" applyProtection="1">
      <alignment horizontal="center" vertical="top"/>
    </xf>
    <xf numFmtId="1" fontId="5" fillId="3" borderId="1" xfId="1" applyNumberFormat="1" applyFont="1" applyFill="1" applyBorder="1" applyAlignment="1">
      <alignment horizontal="center" vertical="top" wrapText="1"/>
    </xf>
    <xf numFmtId="9" fontId="5" fillId="3" borderId="1" xfId="1" applyNumberFormat="1" applyFont="1" applyFill="1" applyBorder="1" applyAlignment="1">
      <alignment horizontal="center" vertical="top" wrapText="1"/>
    </xf>
    <xf numFmtId="49" fontId="5" fillId="3" borderId="1" xfId="0" applyNumberFormat="1" applyFont="1" applyFill="1" applyBorder="1" applyAlignment="1">
      <alignment horizontal="center" vertical="top" wrapText="1"/>
    </xf>
    <xf numFmtId="0" fontId="5" fillId="3" borderId="1" xfId="1" applyNumberFormat="1" applyFont="1" applyFill="1" applyBorder="1" applyAlignment="1">
      <alignment horizontal="center" vertical="top" wrapText="1"/>
    </xf>
    <xf numFmtId="0" fontId="5" fillId="3" borderId="1" xfId="1" applyFont="1" applyFill="1" applyBorder="1" applyAlignment="1" applyProtection="1">
      <alignment vertical="top" wrapText="1"/>
      <protection locked="0"/>
    </xf>
    <xf numFmtId="0" fontId="5" fillId="3" borderId="1" xfId="1" applyNumberFormat="1" applyFont="1" applyFill="1" applyBorder="1" applyAlignment="1" applyProtection="1">
      <alignment vertical="top"/>
    </xf>
    <xf numFmtId="4" fontId="5" fillId="3" borderId="1" xfId="1" applyNumberFormat="1" applyFont="1" applyFill="1" applyBorder="1" applyAlignment="1" applyProtection="1">
      <alignment horizontal="center" vertical="top"/>
    </xf>
    <xf numFmtId="0" fontId="5" fillId="3" borderId="1" xfId="1" applyNumberFormat="1" applyFont="1" applyFill="1" applyBorder="1" applyAlignment="1" applyProtection="1"/>
    <xf numFmtId="0" fontId="6" fillId="3" borderId="1" xfId="1" applyFont="1" applyFill="1" applyBorder="1" applyAlignment="1">
      <alignment horizontal="center" vertical="center" wrapText="1"/>
    </xf>
    <xf numFmtId="0" fontId="5" fillId="3" borderId="1" xfId="19" applyFont="1" applyFill="1" applyBorder="1" applyAlignment="1">
      <alignment horizontal="left" wrapText="1"/>
    </xf>
    <xf numFmtId="0" fontId="5" fillId="3" borderId="1" xfId="19" applyFont="1" applyFill="1" applyBorder="1" applyAlignment="1">
      <alignment horizontal="left" vertical="top" wrapText="1"/>
    </xf>
    <xf numFmtId="49" fontId="5" fillId="3" borderId="1" xfId="13" applyNumberFormat="1" applyFont="1" applyFill="1" applyBorder="1" applyAlignment="1">
      <alignment horizontal="center" vertical="top"/>
    </xf>
    <xf numFmtId="0" fontId="5" fillId="3" borderId="1" xfId="13" applyNumberFormat="1" applyFont="1" applyFill="1" applyBorder="1" applyAlignment="1">
      <alignment horizontal="center" vertical="top"/>
    </xf>
    <xf numFmtId="4" fontId="5" fillId="3" borderId="1" xfId="13" applyNumberFormat="1" applyFont="1" applyFill="1" applyBorder="1" applyAlignment="1">
      <alignment vertical="top" wrapText="1"/>
    </xf>
    <xf numFmtId="0" fontId="5" fillId="3" borderId="1" xfId="0" applyFont="1" applyFill="1" applyBorder="1" applyAlignment="1">
      <alignment horizontal="left" vertical="center" wrapText="1"/>
    </xf>
    <xf numFmtId="0" fontId="5" fillId="3" borderId="1" xfId="13" applyNumberFormat="1" applyFont="1" applyFill="1" applyBorder="1" applyAlignment="1">
      <alignment horizontal="center" vertical="top" wrapText="1"/>
    </xf>
    <xf numFmtId="3" fontId="5" fillId="3" borderId="1" xfId="1" applyNumberFormat="1" applyFont="1" applyFill="1" applyBorder="1" applyAlignment="1">
      <alignment horizontal="center" vertical="center" wrapText="1"/>
    </xf>
    <xf numFmtId="0" fontId="5" fillId="3" borderId="1" xfId="1" applyFont="1" applyFill="1" applyBorder="1" applyAlignment="1">
      <alignment horizontal="center"/>
    </xf>
    <xf numFmtId="0" fontId="9" fillId="3" borderId="1" xfId="1" applyFont="1" applyFill="1" applyBorder="1" applyAlignment="1">
      <alignment vertical="center" wrapText="1"/>
    </xf>
    <xf numFmtId="0" fontId="5" fillId="3" borderId="0" xfId="1" applyFont="1" applyFill="1" applyBorder="1" applyAlignment="1">
      <alignment horizontal="center" vertical="top" wrapText="1"/>
    </xf>
    <xf numFmtId="49" fontId="5" fillId="3" borderId="0" xfId="1" applyNumberFormat="1" applyFont="1" applyFill="1" applyBorder="1" applyAlignment="1">
      <alignment horizontal="center" vertical="top" wrapText="1"/>
    </xf>
    <xf numFmtId="0" fontId="9" fillId="3" borderId="0" xfId="1" applyFont="1" applyFill="1" applyBorder="1" applyAlignment="1">
      <alignment horizontal="justify" vertical="top" wrapText="1"/>
    </xf>
    <xf numFmtId="164" fontId="5" fillId="3" borderId="0" xfId="1" applyNumberFormat="1" applyFont="1" applyFill="1" applyBorder="1" applyAlignment="1">
      <alignment vertical="top"/>
    </xf>
    <xf numFmtId="164" fontId="5" fillId="3" borderId="0" xfId="1" applyNumberFormat="1" applyFont="1" applyFill="1" applyBorder="1" applyAlignment="1">
      <alignment horizontal="center" vertical="top" wrapText="1"/>
    </xf>
    <xf numFmtId="0" fontId="5" fillId="7" borderId="1" xfId="1" applyFont="1" applyFill="1" applyBorder="1" applyAlignment="1">
      <alignment horizontal="center" vertical="top" wrapText="1"/>
    </xf>
    <xf numFmtId="3" fontId="9" fillId="7" borderId="1" xfId="1" applyNumberFormat="1" applyFont="1" applyFill="1" applyBorder="1" applyAlignment="1">
      <alignment horizontal="center" vertical="top" wrapText="1"/>
    </xf>
    <xf numFmtId="3" fontId="5" fillId="7" borderId="1" xfId="1" applyNumberFormat="1" applyFont="1" applyFill="1" applyBorder="1" applyAlignment="1">
      <alignment horizontal="center" vertical="top" wrapText="1"/>
    </xf>
    <xf numFmtId="4" fontId="5" fillId="7" borderId="1" xfId="1" applyNumberFormat="1" applyFont="1" applyFill="1" applyBorder="1" applyAlignment="1">
      <alignment horizontal="center" vertical="top" wrapText="1"/>
    </xf>
    <xf numFmtId="0" fontId="26" fillId="0" borderId="0" xfId="0" applyFont="1"/>
    <xf numFmtId="0" fontId="5" fillId="0" borderId="0" xfId="1" applyFont="1" applyFill="1" applyBorder="1" applyAlignment="1">
      <alignment vertical="center"/>
    </xf>
    <xf numFmtId="0" fontId="6" fillId="0" borderId="0" xfId="0" applyFont="1"/>
    <xf numFmtId="0" fontId="5" fillId="0" borderId="0" xfId="1" applyFont="1" applyFill="1" applyBorder="1" applyAlignment="1">
      <alignment vertical="top"/>
    </xf>
    <xf numFmtId="49" fontId="10" fillId="0" borderId="1" xfId="0" applyNumberFormat="1" applyFont="1" applyFill="1" applyBorder="1" applyAlignment="1">
      <alignment horizontal="center" vertical="top" wrapText="1"/>
    </xf>
    <xf numFmtId="0" fontId="10" fillId="0" borderId="1" xfId="0" applyFont="1" applyFill="1" applyBorder="1" applyAlignment="1">
      <alignment horizontal="left" vertical="top" wrapText="1"/>
    </xf>
    <xf numFmtId="0" fontId="5" fillId="0" borderId="1" xfId="1" applyFont="1" applyFill="1" applyBorder="1" applyAlignment="1">
      <alignment vertical="top" wrapText="1"/>
    </xf>
    <xf numFmtId="4" fontId="5" fillId="7" borderId="1" xfId="1" applyNumberFormat="1" applyFont="1" applyFill="1" applyBorder="1" applyAlignment="1" applyProtection="1">
      <alignment horizontal="center" vertical="top"/>
    </xf>
    <xf numFmtId="0" fontId="5" fillId="7" borderId="1" xfId="1" applyNumberFormat="1" applyFont="1" applyFill="1" applyBorder="1" applyAlignment="1" applyProtection="1">
      <alignment horizontal="center" vertical="top"/>
    </xf>
    <xf numFmtId="4" fontId="3" fillId="7" borderId="1" xfId="1" applyNumberFormat="1" applyFont="1" applyFill="1" applyBorder="1" applyAlignment="1" applyProtection="1">
      <alignment horizontal="center" vertical="top"/>
    </xf>
    <xf numFmtId="4" fontId="8" fillId="0" borderId="0" xfId="1" applyNumberFormat="1" applyFont="1" applyFill="1" applyAlignment="1">
      <alignment vertical="center"/>
    </xf>
    <xf numFmtId="4" fontId="3" fillId="0" borderId="0" xfId="1" applyNumberFormat="1" applyFont="1" applyFill="1" applyAlignment="1" applyProtection="1">
      <alignment vertical="top"/>
    </xf>
    <xf numFmtId="166" fontId="5" fillId="3" borderId="1" xfId="1" applyNumberFormat="1" applyFont="1" applyFill="1" applyBorder="1" applyAlignment="1">
      <alignment horizontal="center" vertical="top" wrapText="1"/>
    </xf>
    <xf numFmtId="49" fontId="10" fillId="0" borderId="1" xfId="1" applyNumberFormat="1" applyFont="1" applyFill="1" applyBorder="1" applyAlignment="1">
      <alignment horizontal="center" vertical="top"/>
    </xf>
    <xf numFmtId="0" fontId="10" fillId="0" borderId="1" xfId="1" applyFont="1" applyFill="1" applyBorder="1" applyAlignment="1">
      <alignment vertical="top" wrapText="1"/>
    </xf>
    <xf numFmtId="0" fontId="10" fillId="0" borderId="1" xfId="1" applyFont="1" applyFill="1" applyBorder="1" applyAlignment="1">
      <alignment horizontal="left" vertical="top" wrapText="1"/>
    </xf>
    <xf numFmtId="0" fontId="10" fillId="0" borderId="1" xfId="1" applyFont="1" applyFill="1" applyBorder="1" applyAlignment="1">
      <alignment horizontal="center" vertical="top" wrapText="1"/>
    </xf>
    <xf numFmtId="4" fontId="10" fillId="0" borderId="1" xfId="1" applyNumberFormat="1" applyFont="1" applyFill="1" applyBorder="1" applyAlignment="1">
      <alignment horizontal="center" vertical="top" wrapText="1"/>
    </xf>
    <xf numFmtId="2" fontId="10" fillId="0" borderId="1" xfId="22" applyNumberFormat="1" applyFont="1" applyFill="1" applyBorder="1" applyAlignment="1">
      <alignment horizontal="center" vertical="top" wrapText="1"/>
    </xf>
    <xf numFmtId="1" fontId="10" fillId="0" borderId="1" xfId="22" applyNumberFormat="1" applyFont="1" applyFill="1" applyBorder="1" applyAlignment="1">
      <alignment horizontal="center" vertical="top" wrapText="1"/>
    </xf>
    <xf numFmtId="3" fontId="10" fillId="0" borderId="1" xfId="1" applyNumberFormat="1" applyFont="1" applyFill="1" applyBorder="1" applyAlignment="1">
      <alignment horizontal="center" vertical="top" wrapText="1"/>
    </xf>
    <xf numFmtId="1" fontId="10" fillId="0" borderId="1" xfId="1" applyNumberFormat="1" applyFont="1" applyFill="1" applyBorder="1" applyAlignment="1">
      <alignment horizontal="center" vertical="top" wrapText="1"/>
    </xf>
    <xf numFmtId="166" fontId="10" fillId="0" borderId="1" xfId="1" applyNumberFormat="1" applyFont="1" applyFill="1" applyBorder="1" applyAlignment="1">
      <alignment horizontal="center" vertical="top" wrapText="1"/>
    </xf>
    <xf numFmtId="49" fontId="10" fillId="0" borderId="1" xfId="0" applyNumberFormat="1" applyFont="1" applyFill="1" applyBorder="1" applyAlignment="1">
      <alignment horizontal="center" vertical="top"/>
    </xf>
    <xf numFmtId="0" fontId="10" fillId="0" borderId="1" xfId="0" applyFont="1" applyFill="1" applyBorder="1" applyAlignment="1">
      <alignment vertical="top" wrapText="1"/>
    </xf>
    <xf numFmtId="0" fontId="10" fillId="0" borderId="1" xfId="1" applyNumberFormat="1" applyFont="1" applyFill="1" applyBorder="1" applyAlignment="1" applyProtection="1">
      <alignment horizontal="center" vertical="top"/>
    </xf>
    <xf numFmtId="0" fontId="39" fillId="0" borderId="8" xfId="0" applyFont="1" applyFill="1" applyBorder="1" applyAlignment="1">
      <alignment vertical="top" wrapText="1"/>
    </xf>
    <xf numFmtId="0" fontId="40" fillId="3" borderId="1" xfId="0" applyFont="1" applyFill="1" applyBorder="1" applyAlignment="1">
      <alignment horizontal="right" vertical="top" wrapText="1"/>
    </xf>
    <xf numFmtId="0" fontId="40" fillId="3" borderId="1" xfId="1" applyFont="1" applyFill="1" applyBorder="1" applyAlignment="1">
      <alignment horizontal="right" vertical="top" wrapText="1"/>
    </xf>
    <xf numFmtId="0" fontId="39" fillId="0" borderId="2" xfId="0" applyFont="1" applyBorder="1" applyAlignment="1">
      <alignment horizontal="right" wrapText="1"/>
    </xf>
    <xf numFmtId="0" fontId="41" fillId="0" borderId="2" xfId="0" applyFont="1" applyBorder="1" applyAlignment="1">
      <alignment horizontal="right" wrapText="1"/>
    </xf>
    <xf numFmtId="4" fontId="40" fillId="0" borderId="1" xfId="1" applyNumberFormat="1" applyFont="1" applyFill="1" applyBorder="1" applyAlignment="1">
      <alignment horizontal="center" vertical="top" wrapText="1"/>
    </xf>
    <xf numFmtId="0" fontId="42" fillId="0" borderId="1" xfId="1" applyFont="1" applyFill="1" applyBorder="1" applyAlignment="1">
      <alignment vertical="center"/>
    </xf>
    <xf numFmtId="4" fontId="43" fillId="6" borderId="1" xfId="1" applyNumberFormat="1" applyFont="1" applyFill="1" applyBorder="1" applyAlignment="1">
      <alignment horizontal="center" vertical="top" wrapText="1"/>
    </xf>
    <xf numFmtId="4" fontId="15" fillId="5" borderId="3" xfId="1" applyNumberFormat="1" applyFont="1" applyFill="1" applyBorder="1" applyAlignment="1">
      <alignment horizontal="center" vertical="top" wrapText="1"/>
    </xf>
    <xf numFmtId="49" fontId="5" fillId="0" borderId="1" xfId="1" applyNumberFormat="1" applyFont="1" applyFill="1" applyBorder="1" applyAlignment="1">
      <alignment horizontal="center" vertical="top" wrapText="1"/>
    </xf>
    <xf numFmtId="0" fontId="5" fillId="0" borderId="1" xfId="0" applyFont="1" applyFill="1" applyBorder="1" applyAlignment="1">
      <alignment horizontal="left" vertical="top" wrapText="1"/>
    </xf>
    <xf numFmtId="0" fontId="5" fillId="0" borderId="1" xfId="1" applyFont="1" applyFill="1" applyBorder="1" applyAlignment="1">
      <alignment horizontal="center" vertical="top" wrapText="1"/>
    </xf>
    <xf numFmtId="0" fontId="5" fillId="0" borderId="1" xfId="1" applyFont="1" applyFill="1" applyBorder="1" applyAlignment="1">
      <alignment horizontal="left" vertical="top" wrapText="1"/>
    </xf>
    <xf numFmtId="3" fontId="9" fillId="0" borderId="1" xfId="1" applyNumberFormat="1" applyFont="1" applyFill="1" applyBorder="1" applyAlignment="1">
      <alignment horizontal="center" vertical="top" wrapText="1"/>
    </xf>
    <xf numFmtId="3" fontId="5" fillId="0" borderId="1" xfId="1" applyNumberFormat="1" applyFont="1" applyFill="1" applyBorder="1" applyAlignment="1">
      <alignment horizontal="center" vertical="top" wrapText="1"/>
    </xf>
    <xf numFmtId="49" fontId="5" fillId="0" borderId="1" xfId="0" applyNumberFormat="1" applyFont="1" applyFill="1" applyBorder="1" applyAlignment="1">
      <alignment horizontal="center" vertical="top"/>
    </xf>
    <xf numFmtId="0" fontId="5" fillId="0" borderId="1" xfId="0" applyFont="1" applyFill="1" applyBorder="1" applyAlignment="1">
      <alignment vertical="top" wrapText="1"/>
    </xf>
    <xf numFmtId="0" fontId="5" fillId="0" borderId="1" xfId="1" applyNumberFormat="1" applyFont="1" applyFill="1" applyBorder="1" applyAlignment="1" applyProtection="1">
      <alignment horizontal="center" vertical="top"/>
    </xf>
    <xf numFmtId="49" fontId="5" fillId="0" borderId="1" xfId="1" applyNumberFormat="1" applyFont="1" applyFill="1" applyBorder="1" applyAlignment="1">
      <alignment horizontal="center" vertical="top"/>
    </xf>
    <xf numFmtId="0" fontId="5" fillId="30" borderId="1" xfId="1" applyFont="1" applyFill="1" applyBorder="1" applyAlignment="1">
      <alignment horizontal="center" vertical="top" wrapText="1"/>
    </xf>
    <xf numFmtId="4" fontId="5" fillId="30" borderId="1" xfId="1" applyNumberFormat="1" applyFont="1" applyFill="1" applyBorder="1" applyAlignment="1">
      <alignment horizontal="center" vertical="top" wrapText="1"/>
    </xf>
    <xf numFmtId="3" fontId="5" fillId="30" borderId="1" xfId="1" applyNumberFormat="1" applyFont="1" applyFill="1" applyBorder="1" applyAlignment="1">
      <alignment horizontal="center" vertical="top" wrapText="1"/>
    </xf>
    <xf numFmtId="1" fontId="5" fillId="0" borderId="1" xfId="1" applyNumberFormat="1" applyFont="1" applyFill="1" applyBorder="1" applyAlignment="1">
      <alignment horizontal="center" vertical="top" wrapText="1"/>
    </xf>
    <xf numFmtId="0" fontId="5" fillId="0" borderId="1" xfId="1" applyNumberFormat="1" applyFont="1" applyFill="1" applyBorder="1" applyAlignment="1" applyProtection="1">
      <alignment vertical="top"/>
    </xf>
    <xf numFmtId="49" fontId="5" fillId="0" borderId="1" xfId="0" applyNumberFormat="1" applyFont="1" applyFill="1" applyBorder="1" applyAlignment="1">
      <alignment horizontal="center" vertical="top" wrapText="1"/>
    </xf>
    <xf numFmtId="0" fontId="5" fillId="0" borderId="1" xfId="1" applyFont="1" applyFill="1" applyBorder="1" applyAlignment="1">
      <alignment horizontal="left" vertical="center" wrapText="1"/>
    </xf>
    <xf numFmtId="0" fontId="3" fillId="0" borderId="1" xfId="0" applyFont="1" applyFill="1" applyBorder="1" applyAlignment="1">
      <alignment horizontal="left" vertical="top" wrapText="1"/>
    </xf>
    <xf numFmtId="0" fontId="5" fillId="31" borderId="1" xfId="0" applyFont="1" applyFill="1" applyBorder="1" applyAlignment="1">
      <alignment vertical="top" wrapText="1"/>
    </xf>
    <xf numFmtId="0" fontId="3" fillId="0" borderId="1" xfId="1" applyFont="1" applyFill="1" applyBorder="1" applyAlignment="1">
      <alignment horizontal="left" vertical="top" wrapText="1"/>
    </xf>
    <xf numFmtId="0" fontId="5" fillId="5" borderId="1" xfId="0" applyFont="1" applyFill="1" applyBorder="1" applyAlignment="1">
      <alignment horizontal="left" vertical="top" wrapText="1"/>
    </xf>
    <xf numFmtId="0" fontId="5" fillId="5" borderId="1" xfId="1" applyFont="1" applyFill="1" applyBorder="1" applyAlignment="1">
      <alignment horizontal="center" vertical="top" wrapText="1"/>
    </xf>
    <xf numFmtId="4" fontId="5" fillId="5" borderId="1" xfId="1" applyNumberFormat="1" applyFont="1" applyFill="1" applyBorder="1" applyAlignment="1">
      <alignment horizontal="center" vertical="top" wrapText="1"/>
    </xf>
    <xf numFmtId="3" fontId="5" fillId="5" borderId="1" xfId="1" applyNumberFormat="1" applyFont="1" applyFill="1" applyBorder="1" applyAlignment="1">
      <alignment horizontal="center" vertical="top" wrapText="1"/>
    </xf>
    <xf numFmtId="1" fontId="5" fillId="0" borderId="1" xfId="1" applyNumberFormat="1" applyFont="1" applyFill="1" applyBorder="1" applyAlignment="1" applyProtection="1">
      <alignment horizontal="center" vertical="top"/>
    </xf>
    <xf numFmtId="4" fontId="5" fillId="0" borderId="1" xfId="1" applyNumberFormat="1" applyFont="1" applyFill="1" applyBorder="1" applyAlignment="1">
      <alignment horizontal="right"/>
    </xf>
    <xf numFmtId="4" fontId="5" fillId="0" borderId="0" xfId="1" applyNumberFormat="1" applyFont="1" applyFill="1" applyAlignment="1">
      <alignment horizontal="right"/>
    </xf>
    <xf numFmtId="0" fontId="3" fillId="29" borderId="0" xfId="1" applyFont="1" applyFill="1" applyBorder="1" applyAlignment="1">
      <alignment vertical="center"/>
    </xf>
    <xf numFmtId="0" fontId="5" fillId="29" borderId="0" xfId="1" applyFont="1" applyFill="1" applyBorder="1" applyAlignment="1">
      <alignment vertical="center"/>
    </xf>
    <xf numFmtId="49" fontId="9" fillId="29" borderId="1" xfId="1" applyNumberFormat="1" applyFont="1" applyFill="1" applyBorder="1" applyAlignment="1">
      <alignment horizontal="center" vertical="top"/>
    </xf>
    <xf numFmtId="0" fontId="9" fillId="29" borderId="1" xfId="1" applyFont="1" applyFill="1" applyBorder="1" applyAlignment="1">
      <alignment horizontal="center" vertical="top" wrapText="1"/>
    </xf>
    <xf numFmtId="0" fontId="5" fillId="29" borderId="1" xfId="1" applyFont="1" applyFill="1" applyBorder="1" applyAlignment="1">
      <alignment horizontal="center" vertical="top" wrapText="1"/>
    </xf>
    <xf numFmtId="4" fontId="9" fillId="29" borderId="1" xfId="1" applyNumberFormat="1" applyFont="1" applyFill="1" applyBorder="1" applyAlignment="1">
      <alignment horizontal="center" vertical="top" wrapText="1"/>
    </xf>
    <xf numFmtId="4" fontId="4" fillId="29" borderId="1" xfId="1" applyNumberFormat="1" applyFont="1" applyFill="1" applyBorder="1" applyAlignment="1">
      <alignment horizontal="center" vertical="top" wrapText="1"/>
    </xf>
    <xf numFmtId="0" fontId="3" fillId="29" borderId="1" xfId="1" applyFont="1" applyFill="1" applyBorder="1" applyAlignment="1">
      <alignment vertical="center"/>
    </xf>
    <xf numFmtId="0" fontId="3" fillId="29" borderId="0" xfId="1" applyFont="1" applyFill="1" applyAlignment="1">
      <alignment vertical="center"/>
    </xf>
    <xf numFmtId="0" fontId="9" fillId="29" borderId="1" xfId="1" applyFont="1" applyFill="1" applyBorder="1" applyAlignment="1">
      <alignment horizontal="left" vertical="top" wrapText="1"/>
    </xf>
    <xf numFmtId="4" fontId="5" fillId="29" borderId="1" xfId="1" applyNumberFormat="1" applyFont="1" applyFill="1" applyBorder="1" applyAlignment="1">
      <alignment horizontal="center" vertical="top" wrapText="1"/>
    </xf>
    <xf numFmtId="0" fontId="3" fillId="29" borderId="1" xfId="1" applyFont="1" applyFill="1" applyBorder="1" applyAlignment="1">
      <alignment horizontal="center" vertical="top" wrapText="1"/>
    </xf>
    <xf numFmtId="0" fontId="8" fillId="29" borderId="0" xfId="1" applyFont="1" applyFill="1" applyBorder="1" applyAlignment="1">
      <alignment vertical="center"/>
    </xf>
    <xf numFmtId="0" fontId="4" fillId="29" borderId="1" xfId="1" applyNumberFormat="1" applyFont="1" applyFill="1" applyBorder="1" applyAlignment="1">
      <alignment horizontal="center" vertical="top" wrapText="1"/>
    </xf>
    <xf numFmtId="0" fontId="8" fillId="29" borderId="1" xfId="1" applyFont="1" applyFill="1" applyBorder="1" applyAlignment="1">
      <alignment vertical="center"/>
    </xf>
    <xf numFmtId="3" fontId="9" fillId="29" borderId="1" xfId="1" applyNumberFormat="1" applyFont="1" applyFill="1" applyBorder="1" applyAlignment="1">
      <alignment horizontal="center" vertical="top" wrapText="1"/>
    </xf>
    <xf numFmtId="3" fontId="5" fillId="29" borderId="1" xfId="1" applyNumberFormat="1" applyFont="1" applyFill="1" applyBorder="1" applyAlignment="1">
      <alignment horizontal="center" vertical="top" wrapText="1"/>
    </xf>
    <xf numFmtId="0" fontId="8" fillId="29" borderId="0" xfId="1" applyFont="1" applyFill="1" applyAlignment="1">
      <alignment vertical="center"/>
    </xf>
    <xf numFmtId="4" fontId="3" fillId="29" borderId="1" xfId="1" applyNumberFormat="1" applyFont="1" applyFill="1" applyBorder="1" applyAlignment="1">
      <alignment horizontal="center" vertical="top" wrapText="1"/>
    </xf>
    <xf numFmtId="0" fontId="3" fillId="29" borderId="1" xfId="1" applyNumberFormat="1" applyFont="1" applyFill="1" applyBorder="1" applyAlignment="1">
      <alignment horizontal="center" vertical="top" wrapText="1"/>
    </xf>
    <xf numFmtId="0" fontId="5" fillId="29" borderId="1" xfId="1" applyFont="1" applyFill="1" applyBorder="1" applyAlignment="1">
      <alignment horizontal="left" vertical="top" wrapText="1"/>
    </xf>
    <xf numFmtId="0" fontId="8" fillId="29" borderId="0" xfId="1" applyFont="1" applyFill="1" applyAlignment="1">
      <alignment horizontal="right" vertical="center"/>
    </xf>
    <xf numFmtId="49" fontId="9" fillId="29" borderId="1" xfId="0" applyNumberFormat="1" applyFont="1" applyFill="1" applyBorder="1" applyAlignment="1">
      <alignment horizontal="center" vertical="top"/>
    </xf>
    <xf numFmtId="0" fontId="9" fillId="29" borderId="1" xfId="0" applyFont="1" applyFill="1" applyBorder="1" applyAlignment="1">
      <alignment horizontal="center" vertical="top" wrapText="1"/>
    </xf>
    <xf numFmtId="0" fontId="5" fillId="29" borderId="1" xfId="0" applyFont="1" applyFill="1" applyBorder="1" applyAlignment="1">
      <alignment horizontal="left" vertical="top" wrapText="1"/>
    </xf>
    <xf numFmtId="0" fontId="9" fillId="29" borderId="1" xfId="0" applyFont="1" applyFill="1" applyBorder="1" applyAlignment="1">
      <alignment horizontal="left" vertical="top" wrapText="1"/>
    </xf>
    <xf numFmtId="49" fontId="5" fillId="29" borderId="1" xfId="1" applyNumberFormat="1" applyFont="1" applyFill="1" applyBorder="1" applyAlignment="1">
      <alignment horizontal="center" vertical="top"/>
    </xf>
    <xf numFmtId="49" fontId="38" fillId="29" borderId="1" xfId="1" applyNumberFormat="1" applyFont="1" applyFill="1" applyBorder="1" applyAlignment="1">
      <alignment horizontal="center" vertical="top"/>
    </xf>
    <xf numFmtId="0" fontId="38" fillId="29" borderId="1" xfId="1" applyFont="1" applyFill="1" applyBorder="1" applyAlignment="1">
      <alignment horizontal="center" vertical="top" wrapText="1"/>
    </xf>
    <xf numFmtId="0" fontId="10" fillId="29" borderId="1" xfId="1" applyFont="1" applyFill="1" applyBorder="1" applyAlignment="1">
      <alignment horizontal="left" vertical="top" wrapText="1"/>
    </xf>
    <xf numFmtId="4" fontId="38" fillId="29" borderId="1" xfId="1" applyNumberFormat="1" applyFont="1" applyFill="1" applyBorder="1" applyAlignment="1">
      <alignment horizontal="center" vertical="top" wrapText="1"/>
    </xf>
    <xf numFmtId="0" fontId="10" fillId="29" borderId="1" xfId="1" applyFont="1" applyFill="1" applyBorder="1" applyAlignment="1">
      <alignment horizontal="center" vertical="top" wrapText="1"/>
    </xf>
    <xf numFmtId="3" fontId="38" fillId="29" borderId="1" xfId="1" applyNumberFormat="1" applyFont="1" applyFill="1" applyBorder="1" applyAlignment="1">
      <alignment horizontal="center" vertical="top" wrapText="1"/>
    </xf>
    <xf numFmtId="3" fontId="10" fillId="29" borderId="1" xfId="1" applyNumberFormat="1" applyFont="1" applyFill="1" applyBorder="1" applyAlignment="1">
      <alignment horizontal="center" vertical="top" wrapText="1"/>
    </xf>
    <xf numFmtId="0" fontId="38" fillId="29" borderId="1" xfId="1" applyFont="1" applyFill="1" applyBorder="1" applyAlignment="1">
      <alignment horizontal="left" vertical="top" wrapText="1"/>
    </xf>
    <xf numFmtId="4" fontId="10" fillId="29" borderId="1" xfId="1" applyNumberFormat="1" applyFont="1" applyFill="1" applyBorder="1" applyAlignment="1">
      <alignment horizontal="center" vertical="top" wrapText="1"/>
    </xf>
    <xf numFmtId="49" fontId="9" fillId="29" borderId="1" xfId="0" applyNumberFormat="1" applyFont="1" applyFill="1" applyBorder="1" applyAlignment="1">
      <alignment horizontal="center" vertical="top" wrapText="1"/>
    </xf>
    <xf numFmtId="0" fontId="9" fillId="29" borderId="1" xfId="0" applyFont="1" applyFill="1" applyBorder="1" applyAlignment="1">
      <alignment horizontal="left" vertical="center" wrapText="1"/>
    </xf>
    <xf numFmtId="49" fontId="9" fillId="29" borderId="1" xfId="1" applyNumberFormat="1" applyFont="1" applyFill="1" applyBorder="1" applyAlignment="1">
      <alignment horizontal="center" vertical="top" wrapText="1"/>
    </xf>
    <xf numFmtId="49" fontId="5" fillId="29" borderId="1" xfId="1" applyNumberFormat="1" applyFont="1" applyFill="1" applyBorder="1" applyAlignment="1">
      <alignment horizontal="center" vertical="top" wrapText="1"/>
    </xf>
    <xf numFmtId="0" fontId="9" fillId="29" borderId="1" xfId="1" applyFont="1" applyFill="1" applyBorder="1" applyAlignment="1">
      <alignment horizontal="center" vertical="center" wrapText="1"/>
    </xf>
    <xf numFmtId="0" fontId="9" fillId="29" borderId="1" xfId="1" applyFont="1" applyFill="1" applyBorder="1" applyAlignment="1">
      <alignment horizontal="left" vertical="center" wrapText="1"/>
    </xf>
    <xf numFmtId="0" fontId="8" fillId="29" borderId="0" xfId="1" applyFont="1" applyFill="1"/>
    <xf numFmtId="0" fontId="8" fillId="29" borderId="0" xfId="1" applyFont="1" applyFill="1" applyBorder="1"/>
    <xf numFmtId="0" fontId="5" fillId="29" borderId="0" xfId="1" applyFont="1" applyFill="1" applyBorder="1"/>
    <xf numFmtId="0" fontId="5" fillId="29" borderId="1" xfId="1" applyFont="1" applyFill="1" applyBorder="1" applyAlignment="1">
      <alignment horizontal="left" vertical="center" wrapText="1"/>
    </xf>
    <xf numFmtId="0" fontId="8" fillId="29" borderId="1" xfId="1" applyFont="1" applyFill="1" applyBorder="1"/>
    <xf numFmtId="0" fontId="12" fillId="29" borderId="1" xfId="1" applyFont="1" applyFill="1" applyBorder="1"/>
    <xf numFmtId="0" fontId="12" fillId="29" borderId="0" xfId="1" applyFont="1" applyFill="1"/>
    <xf numFmtId="0" fontId="5" fillId="29" borderId="1" xfId="1" applyFont="1" applyFill="1" applyBorder="1" applyAlignment="1">
      <alignment vertical="top"/>
    </xf>
    <xf numFmtId="0" fontId="3" fillId="29" borderId="1" xfId="1" applyFont="1" applyFill="1" applyBorder="1"/>
    <xf numFmtId="0" fontId="5" fillId="29" borderId="1" xfId="1" applyNumberFormat="1" applyFont="1" applyFill="1" applyBorder="1" applyAlignment="1" applyProtection="1">
      <alignment vertical="top"/>
    </xf>
    <xf numFmtId="0" fontId="3" fillId="29" borderId="0" xfId="1" applyFont="1" applyFill="1"/>
    <xf numFmtId="0" fontId="3" fillId="29" borderId="0" xfId="1" applyFont="1" applyFill="1" applyBorder="1"/>
    <xf numFmtId="4" fontId="3" fillId="29" borderId="1" xfId="1" applyNumberFormat="1" applyFont="1" applyFill="1" applyBorder="1" applyAlignment="1" applyProtection="1">
      <alignment horizontal="center" vertical="top"/>
    </xf>
    <xf numFmtId="0" fontId="3" fillId="29" borderId="1" xfId="1" applyNumberFormat="1" applyFont="1" applyFill="1" applyBorder="1" applyAlignment="1" applyProtection="1">
      <alignment horizontal="center" vertical="top"/>
    </xf>
    <xf numFmtId="0" fontId="5" fillId="29" borderId="1" xfId="1" applyNumberFormat="1" applyFont="1" applyFill="1" applyBorder="1" applyAlignment="1" applyProtection="1"/>
    <xf numFmtId="0" fontId="5" fillId="29" borderId="1" xfId="1" applyNumberFormat="1" applyFont="1" applyFill="1" applyBorder="1" applyAlignment="1" applyProtection="1">
      <alignment horizontal="center" vertical="top"/>
    </xf>
    <xf numFmtId="4" fontId="8" fillId="29" borderId="1" xfId="1" applyNumberFormat="1" applyFont="1" applyFill="1" applyBorder="1" applyAlignment="1">
      <alignment vertical="center"/>
    </xf>
    <xf numFmtId="49" fontId="9" fillId="29" borderId="1" xfId="3" applyNumberFormat="1" applyFont="1" applyFill="1" applyBorder="1" applyAlignment="1">
      <alignment horizontal="center" vertical="top"/>
    </xf>
    <xf numFmtId="49" fontId="9" fillId="29" borderId="1" xfId="3" applyNumberFormat="1" applyFont="1" applyFill="1" applyBorder="1" applyAlignment="1">
      <alignment horizontal="center" vertical="top" wrapText="1"/>
    </xf>
    <xf numFmtId="0" fontId="9" fillId="29" borderId="1" xfId="3" applyFont="1" applyFill="1" applyBorder="1" applyAlignment="1">
      <alignment horizontal="center" vertical="top" wrapText="1"/>
    </xf>
    <xf numFmtId="0" fontId="9" fillId="29" borderId="1" xfId="1" applyNumberFormat="1" applyFont="1" applyFill="1" applyBorder="1" applyAlignment="1">
      <alignment horizontal="center" vertical="top" wrapText="1"/>
    </xf>
    <xf numFmtId="0" fontId="8" fillId="29" borderId="1" xfId="1" applyFont="1" applyFill="1" applyBorder="1" applyAlignment="1">
      <alignment vertical="top"/>
    </xf>
    <xf numFmtId="0" fontId="8" fillId="29" borderId="0" xfId="1" applyFont="1" applyFill="1" applyAlignment="1">
      <alignment vertical="top"/>
    </xf>
    <xf numFmtId="0" fontId="8" fillId="29" borderId="0" xfId="1" applyFont="1" applyFill="1" applyBorder="1" applyAlignment="1">
      <alignment vertical="top"/>
    </xf>
    <xf numFmtId="0" fontId="5" fillId="29" borderId="0" xfId="1" applyFont="1" applyFill="1" applyBorder="1" applyAlignment="1">
      <alignment vertical="top"/>
    </xf>
    <xf numFmtId="49" fontId="17" fillId="3" borderId="1" xfId="1" applyNumberFormat="1" applyFont="1" applyFill="1" applyBorder="1" applyAlignment="1">
      <alignment horizontal="center" vertical="top" wrapText="1"/>
    </xf>
    <xf numFmtId="49" fontId="16" fillId="3" borderId="1" xfId="0" applyNumberFormat="1" applyFont="1" applyFill="1" applyBorder="1" applyAlignment="1">
      <alignment horizontal="center" vertical="top"/>
    </xf>
    <xf numFmtId="49" fontId="17" fillId="3" borderId="1" xfId="0" applyNumberFormat="1" applyFont="1" applyFill="1" applyBorder="1" applyAlignment="1">
      <alignment horizontal="center" vertical="top"/>
    </xf>
    <xf numFmtId="0" fontId="44" fillId="0" borderId="1" xfId="1" applyFont="1" applyFill="1" applyBorder="1" applyAlignment="1">
      <alignment horizontal="right" vertical="top" wrapText="1"/>
    </xf>
    <xf numFmtId="0" fontId="42" fillId="0" borderId="0" xfId="1" applyFont="1" applyFill="1" applyBorder="1" applyAlignment="1">
      <alignment vertical="center"/>
    </xf>
    <xf numFmtId="0" fontId="40" fillId="0" borderId="0" xfId="1" applyFont="1" applyFill="1" applyBorder="1" applyAlignment="1">
      <alignment vertical="center"/>
    </xf>
    <xf numFmtId="49" fontId="45" fillId="0" borderId="1" xfId="1" applyNumberFormat="1" applyFont="1" applyFill="1" applyBorder="1" applyAlignment="1">
      <alignment horizontal="center" vertical="top"/>
    </xf>
    <xf numFmtId="0" fontId="45" fillId="0" borderId="1" xfId="0" applyFont="1" applyFill="1" applyBorder="1" applyAlignment="1">
      <alignment vertical="top" wrapText="1"/>
    </xf>
    <xf numFmtId="4" fontId="45" fillId="0" borderId="1" xfId="1" applyNumberFormat="1" applyFont="1" applyFill="1" applyBorder="1" applyAlignment="1">
      <alignment horizontal="center" vertical="top" wrapText="1"/>
    </xf>
    <xf numFmtId="4" fontId="43" fillId="0" borderId="1" xfId="1" applyNumberFormat="1" applyFont="1" applyFill="1" applyBorder="1" applyAlignment="1">
      <alignment horizontal="center" vertical="top" wrapText="1"/>
    </xf>
    <xf numFmtId="0" fontId="43" fillId="0" borderId="1" xfId="1" applyNumberFormat="1" applyFont="1" applyFill="1" applyBorder="1" applyAlignment="1">
      <alignment horizontal="center" vertical="top" wrapText="1"/>
    </xf>
    <xf numFmtId="1" fontId="45" fillId="0" borderId="1" xfId="1" applyNumberFormat="1" applyFont="1" applyFill="1" applyBorder="1" applyAlignment="1">
      <alignment horizontal="center" vertical="top" wrapText="1"/>
    </xf>
    <xf numFmtId="0" fontId="45" fillId="0" borderId="1" xfId="1" applyFont="1" applyFill="1" applyBorder="1" applyAlignment="1">
      <alignment horizontal="center" vertical="top" wrapText="1"/>
    </xf>
    <xf numFmtId="3" fontId="45" fillId="0" borderId="1" xfId="1" applyNumberFormat="1" applyFont="1" applyFill="1" applyBorder="1" applyAlignment="1">
      <alignment horizontal="center" vertical="top" wrapText="1"/>
    </xf>
    <xf numFmtId="0" fontId="42" fillId="0" borderId="0" xfId="1" applyFont="1" applyFill="1" applyAlignment="1">
      <alignment vertical="center"/>
    </xf>
    <xf numFmtId="49" fontId="5" fillId="32" borderId="1" xfId="1" applyNumberFormat="1" applyFont="1" applyFill="1" applyBorder="1" applyAlignment="1">
      <alignment horizontal="center" vertical="top" wrapText="1"/>
    </xf>
    <xf numFmtId="0" fontId="5" fillId="32" borderId="1" xfId="1" applyFont="1" applyFill="1" applyBorder="1" applyAlignment="1">
      <alignment vertical="top" wrapText="1"/>
    </xf>
    <xf numFmtId="0" fontId="5" fillId="32" borderId="1" xfId="1" applyFont="1" applyFill="1" applyBorder="1" applyAlignment="1">
      <alignment horizontal="left" vertical="top" wrapText="1"/>
    </xf>
    <xf numFmtId="49" fontId="5" fillId="32" borderId="1" xfId="1" applyNumberFormat="1" applyFont="1" applyFill="1" applyBorder="1" applyAlignment="1">
      <alignment horizontal="center" vertical="top"/>
    </xf>
    <xf numFmtId="0" fontId="5" fillId="32" borderId="1" xfId="0" applyFont="1" applyFill="1" applyBorder="1" applyAlignment="1">
      <alignment vertical="top" wrapText="1"/>
    </xf>
    <xf numFmtId="49" fontId="5" fillId="32" borderId="1" xfId="0" applyNumberFormat="1" applyFont="1" applyFill="1" applyBorder="1" applyAlignment="1">
      <alignment horizontal="center" vertical="top" wrapText="1"/>
    </xf>
    <xf numFmtId="0" fontId="5" fillId="32" borderId="1" xfId="0" applyFont="1" applyFill="1" applyBorder="1" applyAlignment="1">
      <alignment horizontal="left" vertical="top" wrapText="1"/>
    </xf>
    <xf numFmtId="49" fontId="40" fillId="3" borderId="1" xfId="1" applyNumberFormat="1" applyFont="1" applyFill="1" applyBorder="1" applyAlignment="1">
      <alignment horizontal="center" vertical="top" wrapText="1"/>
    </xf>
    <xf numFmtId="0" fontId="40" fillId="3" borderId="1" xfId="1" applyFont="1" applyFill="1" applyBorder="1" applyAlignment="1">
      <alignment vertical="top" wrapText="1"/>
    </xf>
    <xf numFmtId="4" fontId="40" fillId="6" borderId="1" xfId="1" applyNumberFormat="1" applyFont="1" applyFill="1" applyBorder="1" applyAlignment="1">
      <alignment horizontal="center" vertical="top" wrapText="1"/>
    </xf>
    <xf numFmtId="4" fontId="46" fillId="6" borderId="1" xfId="1" applyNumberFormat="1" applyFont="1" applyFill="1" applyBorder="1" applyAlignment="1">
      <alignment horizontal="center" vertical="top" wrapText="1"/>
    </xf>
    <xf numFmtId="0" fontId="43" fillId="0" borderId="1" xfId="1" applyNumberFormat="1" applyFont="1" applyBorder="1" applyAlignment="1">
      <alignment horizontal="center" vertical="top" wrapText="1"/>
    </xf>
    <xf numFmtId="4" fontId="43" fillId="0" borderId="1" xfId="1" applyNumberFormat="1" applyFont="1" applyBorder="1" applyAlignment="1">
      <alignment horizontal="center" vertical="top" wrapText="1"/>
    </xf>
    <xf numFmtId="0" fontId="40" fillId="3" borderId="1" xfId="1" applyFont="1" applyFill="1" applyBorder="1" applyAlignment="1">
      <alignment horizontal="center" vertical="top" wrapText="1"/>
    </xf>
    <xf numFmtId="3" fontId="47" fillId="3" borderId="1" xfId="1" applyNumberFormat="1" applyFont="1" applyFill="1" applyBorder="1" applyAlignment="1">
      <alignment horizontal="center" vertical="top" wrapText="1"/>
    </xf>
    <xf numFmtId="3" fontId="40" fillId="3" borderId="1" xfId="1" applyNumberFormat="1" applyFont="1" applyFill="1" applyBorder="1" applyAlignment="1">
      <alignment horizontal="center" vertical="top" wrapText="1"/>
    </xf>
    <xf numFmtId="0" fontId="40" fillId="0" borderId="1" xfId="1" applyNumberFormat="1" applyFont="1" applyBorder="1" applyAlignment="1">
      <alignment horizontal="center" vertical="top" wrapText="1"/>
    </xf>
    <xf numFmtId="4" fontId="40" fillId="0" borderId="1" xfId="1" applyNumberFormat="1" applyFont="1" applyBorder="1" applyAlignment="1">
      <alignment horizontal="center" vertical="top" wrapText="1"/>
    </xf>
    <xf numFmtId="0" fontId="40" fillId="0" borderId="0" xfId="1" applyFont="1" applyFill="1" applyAlignment="1">
      <alignment vertical="center"/>
    </xf>
    <xf numFmtId="4" fontId="15" fillId="3" borderId="3" xfId="1" applyNumberFormat="1" applyFont="1" applyFill="1" applyBorder="1" applyAlignment="1">
      <alignment horizontal="center" wrapText="1"/>
    </xf>
    <xf numFmtId="4" fontId="15" fillId="5" borderId="3" xfId="1" applyNumberFormat="1" applyFont="1" applyFill="1" applyBorder="1" applyAlignment="1">
      <alignment horizontal="center" wrapText="1"/>
    </xf>
    <xf numFmtId="4" fontId="5" fillId="3" borderId="1" xfId="1" applyNumberFormat="1" applyFont="1" applyFill="1" applyBorder="1" applyAlignment="1">
      <alignment horizontal="right" wrapText="1"/>
    </xf>
    <xf numFmtId="4" fontId="5" fillId="3" borderId="1" xfId="1" applyNumberFormat="1" applyFont="1" applyFill="1" applyBorder="1" applyAlignment="1">
      <alignment horizontal="center" wrapText="1"/>
    </xf>
    <xf numFmtId="0" fontId="5" fillId="3" borderId="1" xfId="1" applyFont="1" applyFill="1" applyBorder="1" applyAlignment="1">
      <alignment horizontal="center" wrapText="1"/>
    </xf>
    <xf numFmtId="4" fontId="9" fillId="29" borderId="1" xfId="1" applyNumberFormat="1" applyFont="1" applyFill="1" applyBorder="1" applyAlignment="1">
      <alignment horizontal="right" wrapText="1"/>
    </xf>
    <xf numFmtId="4" fontId="9" fillId="29" borderId="1" xfId="1" applyNumberFormat="1" applyFont="1" applyFill="1" applyBorder="1" applyAlignment="1">
      <alignment horizontal="center" wrapText="1"/>
    </xf>
    <xf numFmtId="4" fontId="4" fillId="29" borderId="1" xfId="1" applyNumberFormat="1" applyFont="1" applyFill="1" applyBorder="1" applyAlignment="1">
      <alignment horizontal="center" wrapText="1"/>
    </xf>
    <xf numFmtId="4" fontId="5" fillId="29" borderId="1" xfId="1" applyNumberFormat="1" applyFont="1" applyFill="1" applyBorder="1" applyAlignment="1">
      <alignment horizontal="right" wrapText="1"/>
    </xf>
    <xf numFmtId="4" fontId="5" fillId="29" borderId="1" xfId="1" applyNumberFormat="1" applyFont="1" applyFill="1" applyBorder="1" applyAlignment="1">
      <alignment horizontal="center" wrapText="1"/>
    </xf>
    <xf numFmtId="0" fontId="3" fillId="29" borderId="1" xfId="1" applyFont="1" applyFill="1" applyBorder="1" applyAlignment="1">
      <alignment horizontal="center" wrapText="1"/>
    </xf>
    <xf numFmtId="4" fontId="5" fillId="0" borderId="1" xfId="1" applyNumberFormat="1" applyFont="1" applyFill="1" applyBorder="1" applyAlignment="1">
      <alignment horizontal="right" wrapText="1"/>
    </xf>
    <xf numFmtId="4" fontId="5" fillId="0" borderId="1" xfId="1" applyNumberFormat="1" applyFont="1" applyFill="1" applyBorder="1" applyAlignment="1">
      <alignment horizontal="center" wrapText="1"/>
    </xf>
    <xf numFmtId="3" fontId="5" fillId="29" borderId="1" xfId="1" applyNumberFormat="1" applyFont="1" applyFill="1" applyBorder="1" applyAlignment="1">
      <alignment horizontal="center" wrapText="1"/>
    </xf>
    <xf numFmtId="3" fontId="5" fillId="3" borderId="1" xfId="1" applyNumberFormat="1" applyFont="1" applyFill="1" applyBorder="1" applyAlignment="1">
      <alignment horizontal="center" wrapText="1"/>
    </xf>
    <xf numFmtId="4" fontId="3" fillId="29" borderId="1" xfId="1" applyNumberFormat="1" applyFont="1" applyFill="1" applyBorder="1" applyAlignment="1">
      <alignment horizontal="center" wrapText="1"/>
    </xf>
    <xf numFmtId="4" fontId="5" fillId="0" borderId="1" xfId="1" applyNumberFormat="1" applyFont="1" applyBorder="1" applyAlignment="1">
      <alignment horizontal="right" wrapText="1"/>
    </xf>
    <xf numFmtId="4" fontId="5" fillId="0" borderId="1" xfId="1" applyNumberFormat="1" applyFont="1" applyBorder="1" applyAlignment="1">
      <alignment horizontal="center" wrapText="1"/>
    </xf>
    <xf numFmtId="0" fontId="8" fillId="0" borderId="0" xfId="1" applyFont="1" applyFill="1" applyAlignment="1"/>
    <xf numFmtId="4" fontId="3" fillId="0" borderId="1" xfId="1" applyNumberFormat="1" applyFont="1" applyBorder="1" applyAlignment="1">
      <alignment horizontal="center" wrapText="1"/>
    </xf>
    <xf numFmtId="4" fontId="3" fillId="0" borderId="1" xfId="1" applyNumberFormat="1" applyFont="1" applyFill="1" applyBorder="1" applyAlignment="1">
      <alignment horizontal="center" wrapText="1"/>
    </xf>
    <xf numFmtId="4" fontId="40" fillId="0" borderId="1" xfId="1" applyNumberFormat="1" applyFont="1" applyFill="1" applyBorder="1" applyAlignment="1">
      <alignment horizontal="right" wrapText="1"/>
    </xf>
    <xf numFmtId="0" fontId="5" fillId="0" borderId="1" xfId="1" applyFont="1" applyFill="1" applyBorder="1" applyAlignment="1">
      <alignment horizontal="center" wrapText="1"/>
    </xf>
    <xf numFmtId="4" fontId="40" fillId="0" borderId="1" xfId="1" applyNumberFormat="1" applyFont="1" applyFill="1" applyBorder="1" applyAlignment="1">
      <alignment horizontal="center" wrapText="1"/>
    </xf>
    <xf numFmtId="0" fontId="42" fillId="0" borderId="1" xfId="1" applyFont="1" applyFill="1" applyBorder="1" applyAlignment="1"/>
    <xf numFmtId="4" fontId="10" fillId="0" borderId="1" xfId="1" applyNumberFormat="1" applyFont="1" applyFill="1" applyBorder="1" applyAlignment="1">
      <alignment horizontal="right" wrapText="1"/>
    </xf>
    <xf numFmtId="4" fontId="10" fillId="0" borderId="1" xfId="1" applyNumberFormat="1" applyFont="1" applyFill="1" applyBorder="1" applyAlignment="1">
      <alignment horizontal="center" wrapText="1"/>
    </xf>
    <xf numFmtId="3" fontId="5" fillId="0" borderId="1" xfId="1" applyNumberFormat="1" applyFont="1" applyFill="1" applyBorder="1" applyAlignment="1">
      <alignment horizontal="center" wrapText="1"/>
    </xf>
    <xf numFmtId="0" fontId="8" fillId="0" borderId="1" xfId="1" applyFont="1" applyFill="1" applyBorder="1" applyAlignment="1"/>
    <xf numFmtId="1" fontId="5" fillId="3" borderId="1" xfId="1" applyNumberFormat="1" applyFont="1" applyFill="1" applyBorder="1" applyAlignment="1">
      <alignment horizontal="center" wrapText="1"/>
    </xf>
    <xf numFmtId="1" fontId="5" fillId="0" borderId="1" xfId="1" applyNumberFormat="1" applyFont="1" applyFill="1" applyBorder="1" applyAlignment="1">
      <alignment horizontal="center" wrapText="1"/>
    </xf>
    <xf numFmtId="4" fontId="45" fillId="0" borderId="1" xfId="1" applyNumberFormat="1" applyFont="1" applyFill="1" applyBorder="1" applyAlignment="1">
      <alignment horizontal="right" wrapText="1"/>
    </xf>
    <xf numFmtId="4" fontId="45" fillId="0" borderId="1" xfId="1" applyNumberFormat="1" applyFont="1" applyFill="1" applyBorder="1" applyAlignment="1">
      <alignment horizontal="center" wrapText="1"/>
    </xf>
    <xf numFmtId="1" fontId="40" fillId="3" borderId="1" xfId="1" applyNumberFormat="1" applyFont="1" applyFill="1" applyBorder="1" applyAlignment="1">
      <alignment horizontal="center" wrapText="1"/>
    </xf>
    <xf numFmtId="4" fontId="43" fillId="0" borderId="1" xfId="1" applyNumberFormat="1" applyFont="1" applyFill="1" applyBorder="1" applyAlignment="1">
      <alignment horizontal="center" wrapText="1"/>
    </xf>
    <xf numFmtId="4" fontId="38" fillId="29" borderId="1" xfId="1" applyNumberFormat="1" applyFont="1" applyFill="1" applyBorder="1" applyAlignment="1">
      <alignment horizontal="right" wrapText="1"/>
    </xf>
    <xf numFmtId="4" fontId="38" fillId="29" borderId="1" xfId="1" applyNumberFormat="1" applyFont="1" applyFill="1" applyBorder="1" applyAlignment="1">
      <alignment horizontal="center" wrapText="1"/>
    </xf>
    <xf numFmtId="4" fontId="10" fillId="29" borderId="1" xfId="1" applyNumberFormat="1" applyFont="1" applyFill="1" applyBorder="1" applyAlignment="1">
      <alignment horizontal="right" wrapText="1"/>
    </xf>
    <xf numFmtId="4" fontId="10" fillId="29" borderId="1" xfId="1" applyNumberFormat="1" applyFont="1" applyFill="1" applyBorder="1" applyAlignment="1">
      <alignment horizontal="center" wrapText="1"/>
    </xf>
    <xf numFmtId="166" fontId="5" fillId="3" borderId="1" xfId="1" applyNumberFormat="1" applyFont="1" applyFill="1" applyBorder="1" applyAlignment="1">
      <alignment horizontal="center" wrapText="1"/>
    </xf>
    <xf numFmtId="9" fontId="5" fillId="3" borderId="1" xfId="1" applyNumberFormat="1" applyFont="1" applyFill="1" applyBorder="1" applyAlignment="1">
      <alignment horizontal="center" wrapText="1"/>
    </xf>
    <xf numFmtId="4" fontId="5" fillId="0" borderId="1" xfId="1" applyNumberFormat="1" applyFont="1" applyFill="1" applyBorder="1" applyAlignment="1"/>
    <xf numFmtId="0" fontId="5" fillId="0" borderId="1" xfId="1" applyFont="1" applyFill="1" applyBorder="1" applyAlignment="1"/>
    <xf numFmtId="4" fontId="5" fillId="0" borderId="0" xfId="1" applyNumberFormat="1" applyFont="1" applyFill="1" applyAlignment="1"/>
    <xf numFmtId="4" fontId="11" fillId="0" borderId="1" xfId="1" applyNumberFormat="1" applyFont="1" applyFill="1" applyBorder="1" applyAlignment="1">
      <alignment horizontal="center" wrapText="1"/>
    </xf>
    <xf numFmtId="4" fontId="40" fillId="0" borderId="1" xfId="1" applyNumberFormat="1" applyFont="1" applyFill="1" applyBorder="1" applyAlignment="1">
      <alignment horizontal="right"/>
    </xf>
    <xf numFmtId="4" fontId="40" fillId="0" borderId="1" xfId="1" applyNumberFormat="1" applyFont="1" applyFill="1" applyBorder="1" applyAlignment="1"/>
    <xf numFmtId="4" fontId="46" fillId="0" borderId="1" xfId="1" applyNumberFormat="1" applyFont="1" applyFill="1" applyBorder="1" applyAlignment="1">
      <alignment horizontal="center" wrapText="1"/>
    </xf>
    <xf numFmtId="0" fontId="40" fillId="0" borderId="1" xfId="1" applyFont="1" applyFill="1" applyBorder="1" applyAlignment="1"/>
    <xf numFmtId="4" fontId="5" fillId="29" borderId="1" xfId="1" applyNumberFormat="1" applyFont="1" applyFill="1" applyBorder="1" applyAlignment="1" applyProtection="1">
      <alignment horizontal="right"/>
    </xf>
    <xf numFmtId="4" fontId="5" fillId="29" borderId="1" xfId="1" applyNumberFormat="1" applyFont="1" applyFill="1" applyBorder="1" applyAlignment="1" applyProtection="1">
      <alignment horizontal="center"/>
    </xf>
    <xf numFmtId="4" fontId="3" fillId="29" borderId="1" xfId="1" applyNumberFormat="1" applyFont="1" applyFill="1" applyBorder="1" applyAlignment="1" applyProtection="1">
      <alignment horizontal="center"/>
    </xf>
    <xf numFmtId="0" fontId="3" fillId="0" borderId="0" xfId="1" applyFont="1" applyFill="1" applyAlignment="1"/>
    <xf numFmtId="0" fontId="6" fillId="3" borderId="1" xfId="1" applyFont="1" applyFill="1" applyBorder="1" applyAlignment="1">
      <alignment horizontal="center" wrapText="1"/>
    </xf>
    <xf numFmtId="4" fontId="5" fillId="0" borderId="1" xfId="1" applyNumberFormat="1" applyFont="1" applyFill="1" applyBorder="1" applyAlignment="1" applyProtection="1">
      <alignment horizontal="right"/>
    </xf>
    <xf numFmtId="4" fontId="5" fillId="0" borderId="1" xfId="1" applyNumberFormat="1" applyFont="1" applyFill="1" applyBorder="1" applyAlignment="1" applyProtection="1">
      <alignment horizontal="center"/>
    </xf>
    <xf numFmtId="4" fontId="3" fillId="0" borderId="1" xfId="1" applyNumberFormat="1" applyFont="1" applyFill="1" applyBorder="1" applyAlignment="1" applyProtection="1">
      <alignment horizontal="center"/>
    </xf>
    <xf numFmtId="0" fontId="5" fillId="3" borderId="1" xfId="1" applyNumberFormat="1" applyFont="1" applyFill="1" applyBorder="1" applyAlignment="1" applyProtection="1">
      <alignment horizontal="center"/>
    </xf>
    <xf numFmtId="0" fontId="5" fillId="29" borderId="1" xfId="1" applyNumberFormat="1" applyFont="1" applyFill="1" applyBorder="1" applyAlignment="1" applyProtection="1">
      <alignment horizontal="center"/>
    </xf>
    <xf numFmtId="4" fontId="5" fillId="32" borderId="1" xfId="1" applyNumberFormat="1" applyFont="1" applyFill="1" applyBorder="1" applyAlignment="1" applyProtection="1">
      <alignment horizontal="right"/>
    </xf>
    <xf numFmtId="4" fontId="5" fillId="32" borderId="1" xfId="1" applyNumberFormat="1" applyFont="1" applyFill="1" applyBorder="1" applyAlignment="1" applyProtection="1">
      <alignment horizontal="center"/>
    </xf>
    <xf numFmtId="4" fontId="3" fillId="32" borderId="1" xfId="1" applyNumberFormat="1" applyFont="1" applyFill="1" applyBorder="1" applyAlignment="1" applyProtection="1">
      <alignment horizontal="center"/>
    </xf>
    <xf numFmtId="0" fontId="5" fillId="32" borderId="1" xfId="1" applyNumberFormat="1" applyFont="1" applyFill="1" applyBorder="1" applyAlignment="1" applyProtection="1">
      <alignment horizontal="center"/>
    </xf>
    <xf numFmtId="0" fontId="3" fillId="0" borderId="1" xfId="1" applyFont="1" applyFill="1" applyBorder="1" applyAlignment="1"/>
    <xf numFmtId="0" fontId="5" fillId="29" borderId="1" xfId="1" applyFont="1" applyFill="1" applyBorder="1" applyAlignment="1">
      <alignment horizontal="center" wrapText="1"/>
    </xf>
    <xf numFmtId="4" fontId="5" fillId="2" borderId="1" xfId="1" applyNumberFormat="1" applyFont="1" applyFill="1" applyBorder="1" applyAlignment="1">
      <alignment horizontal="right" wrapText="1"/>
    </xf>
    <xf numFmtId="4" fontId="5" fillId="2" borderId="1" xfId="1" applyNumberFormat="1" applyFont="1" applyFill="1" applyBorder="1" applyAlignment="1">
      <alignment horizontal="center" wrapText="1"/>
    </xf>
    <xf numFmtId="4" fontId="11" fillId="2" borderId="1" xfId="1" applyNumberFormat="1" applyFont="1" applyFill="1" applyBorder="1" applyAlignment="1">
      <alignment horizontal="center" wrapText="1"/>
    </xf>
    <xf numFmtId="4" fontId="9" fillId="3" borderId="1" xfId="1" applyNumberFormat="1" applyFont="1" applyFill="1" applyBorder="1" applyAlignment="1">
      <alignment horizontal="center" wrapText="1"/>
    </xf>
    <xf numFmtId="4" fontId="3" fillId="7" borderId="1" xfId="1" applyNumberFormat="1" applyFont="1" applyFill="1" applyBorder="1" applyAlignment="1">
      <alignment horizontal="center" wrapText="1"/>
    </xf>
    <xf numFmtId="4" fontId="9" fillId="3" borderId="1" xfId="1" applyNumberFormat="1" applyFont="1" applyFill="1" applyBorder="1" applyAlignment="1">
      <alignment horizontal="right" wrapText="1"/>
    </xf>
    <xf numFmtId="4" fontId="5" fillId="3" borderId="0" xfId="1" applyNumberFormat="1" applyFont="1" applyFill="1" applyBorder="1" applyAlignment="1">
      <alignment horizontal="right"/>
    </xf>
    <xf numFmtId="4" fontId="5" fillId="3" borderId="0" xfId="1" applyNumberFormat="1" applyFont="1" applyFill="1" applyBorder="1" applyAlignment="1">
      <alignment horizontal="center"/>
    </xf>
    <xf numFmtId="164" fontId="5" fillId="3" borderId="0" xfId="1" applyNumberFormat="1" applyFont="1" applyFill="1" applyBorder="1" applyAlignment="1">
      <alignment horizontal="center" wrapText="1"/>
    </xf>
    <xf numFmtId="4" fontId="5" fillId="0" borderId="0" xfId="1" applyNumberFormat="1" applyFont="1" applyFill="1" applyAlignment="1" applyProtection="1">
      <alignment horizontal="right"/>
    </xf>
    <xf numFmtId="4" fontId="5" fillId="0" borderId="0" xfId="1" applyNumberFormat="1" applyFont="1" applyFill="1" applyAlignment="1" applyProtection="1">
      <alignment horizontal="center"/>
    </xf>
    <xf numFmtId="4" fontId="3" fillId="0" borderId="0" xfId="1" applyNumberFormat="1" applyFont="1" applyFill="1" applyAlignment="1" applyProtection="1">
      <alignment horizontal="center"/>
    </xf>
    <xf numFmtId="4" fontId="3" fillId="0" borderId="0" xfId="1" applyNumberFormat="1" applyFont="1" applyFill="1" applyAlignment="1" applyProtection="1"/>
    <xf numFmtId="0" fontId="40" fillId="0" borderId="1" xfId="1" applyFont="1" applyFill="1" applyBorder="1" applyAlignment="1">
      <alignment horizontal="center" wrapText="1"/>
    </xf>
    <xf numFmtId="0" fontId="42" fillId="0" borderId="0" xfId="1" applyFont="1" applyFill="1" applyBorder="1" applyAlignment="1">
      <alignment horizontal="right" vertical="center"/>
    </xf>
    <xf numFmtId="0" fontId="42" fillId="0" borderId="0" xfId="1" applyFont="1" applyFill="1" applyBorder="1" applyAlignment="1">
      <alignment horizontal="right"/>
    </xf>
    <xf numFmtId="0" fontId="40" fillId="0" borderId="0" xfId="1" applyFont="1" applyFill="1" applyBorder="1" applyAlignment="1">
      <alignment horizontal="right"/>
    </xf>
    <xf numFmtId="49" fontId="40" fillId="3" borderId="1" xfId="1" applyNumberFormat="1" applyFont="1" applyFill="1" applyBorder="1" applyAlignment="1">
      <alignment horizontal="right" vertical="top" wrapText="1"/>
    </xf>
    <xf numFmtId="0" fontId="42" fillId="0" borderId="1" xfId="1" applyFont="1" applyFill="1" applyBorder="1" applyAlignment="1">
      <alignment horizontal="right"/>
    </xf>
    <xf numFmtId="4" fontId="43" fillId="0" borderId="1" xfId="1" applyNumberFormat="1" applyFont="1" applyFill="1" applyBorder="1" applyAlignment="1">
      <alignment horizontal="right" wrapText="1"/>
    </xf>
    <xf numFmtId="4" fontId="43" fillId="0" borderId="1" xfId="1" applyNumberFormat="1" applyFont="1" applyBorder="1" applyAlignment="1">
      <alignment horizontal="right" vertical="top" wrapText="1"/>
    </xf>
    <xf numFmtId="0" fontId="43" fillId="0" borderId="1" xfId="1" applyNumberFormat="1" applyFont="1" applyBorder="1" applyAlignment="1">
      <alignment horizontal="right" vertical="top" wrapText="1"/>
    </xf>
    <xf numFmtId="3" fontId="40" fillId="3" borderId="1" xfId="1" applyNumberFormat="1" applyFont="1" applyFill="1" applyBorder="1" applyAlignment="1">
      <alignment horizontal="right" vertical="top" wrapText="1"/>
    </xf>
    <xf numFmtId="0" fontId="42" fillId="0" borderId="0" xfId="1" applyFont="1" applyFill="1" applyAlignment="1">
      <alignment horizontal="right"/>
    </xf>
  </cellXfs>
  <cellStyles count="79">
    <cellStyle name="20% - Акцент1" xfId="25"/>
    <cellStyle name="20% - Акцент2" xfId="26"/>
    <cellStyle name="20% - Акцент3" xfId="27"/>
    <cellStyle name="20% - Акцент4" xfId="28"/>
    <cellStyle name="20% - Акцент5" xfId="29"/>
    <cellStyle name="20% - Акцент6" xfId="30"/>
    <cellStyle name="40% - Акцент1" xfId="31"/>
    <cellStyle name="40% - Акцент2" xfId="32"/>
    <cellStyle name="40% - Акцент3" xfId="33"/>
    <cellStyle name="40% - Акцент4" xfId="34"/>
    <cellStyle name="40% - Акцент5" xfId="35"/>
    <cellStyle name="40% - Акцент6" xfId="36"/>
    <cellStyle name="60% - Акцент1" xfId="37"/>
    <cellStyle name="60% - Акцент2" xfId="38"/>
    <cellStyle name="60% - Акцент3" xfId="39"/>
    <cellStyle name="60% - Акцент4" xfId="40"/>
    <cellStyle name="60% - Акцент5" xfId="41"/>
    <cellStyle name="60% - Акцент6" xfId="42"/>
    <cellStyle name="Normal_meresha_07" xfId="43"/>
    <cellStyle name="Акцент1" xfId="44"/>
    <cellStyle name="Акцент2" xfId="45"/>
    <cellStyle name="Акцент3" xfId="46"/>
    <cellStyle name="Акцент4" xfId="47"/>
    <cellStyle name="Акцент5" xfId="48"/>
    <cellStyle name="Акцент6" xfId="49"/>
    <cellStyle name="Відсотковий" xfId="22" builtinId="5"/>
    <cellStyle name="Вывод" xfId="50"/>
    <cellStyle name="Вычисление" xfId="51"/>
    <cellStyle name="Звичайний" xfId="0" builtinId="0"/>
    <cellStyle name="Звичайний 10" xfId="20"/>
    <cellStyle name="Звичайний 10 2" xfId="52"/>
    <cellStyle name="Звичайний 11" xfId="53"/>
    <cellStyle name="Звичайний 12" xfId="54"/>
    <cellStyle name="Звичайний 13" xfId="55"/>
    <cellStyle name="Звичайний 14" xfId="56"/>
    <cellStyle name="Звичайний 15" xfId="57"/>
    <cellStyle name="Звичайний 16" xfId="58"/>
    <cellStyle name="Звичайний 17" xfId="59"/>
    <cellStyle name="Звичайний 18" xfId="60"/>
    <cellStyle name="Звичайний 19" xfId="61"/>
    <cellStyle name="Звичайний 2" xfId="13"/>
    <cellStyle name="Звичайний 2 2" xfId="16"/>
    <cellStyle name="Звичайний 20" xfId="62"/>
    <cellStyle name="Звичайний 21" xfId="10"/>
    <cellStyle name="Звичайний 21 2" xfId="14"/>
    <cellStyle name="Звичайний 22" xfId="5"/>
    <cellStyle name="Звичайний 23" xfId="24"/>
    <cellStyle name="Звичайний 28" xfId="1"/>
    <cellStyle name="Звичайний 28 2" xfId="2"/>
    <cellStyle name="Звичайний 3" xfId="19"/>
    <cellStyle name="Звичайний 3 2" xfId="63"/>
    <cellStyle name="Звичайний 4" xfId="64"/>
    <cellStyle name="Звичайний 5" xfId="65"/>
    <cellStyle name="Звичайний 55 2 3 2" xfId="21"/>
    <cellStyle name="Звичайний 6" xfId="66"/>
    <cellStyle name="Звичайний 7" xfId="67"/>
    <cellStyle name="Звичайний 8" xfId="68"/>
    <cellStyle name="Звичайний 9" xfId="69"/>
    <cellStyle name="Итог" xfId="70"/>
    <cellStyle name="Нейтральный" xfId="71"/>
    <cellStyle name="Обычный 11 4" xfId="72"/>
    <cellStyle name="Обычный 15 2" xfId="7"/>
    <cellStyle name="Обычный 15 2 2 2" xfId="9"/>
    <cellStyle name="Обычный 15 2_Проект БР 2019_1_Проект БР 2019" xfId="11"/>
    <cellStyle name="Обычный 2" xfId="8"/>
    <cellStyle name="Обычный 2 2" xfId="12"/>
    <cellStyle name="Обычный 2 2 3" xfId="18"/>
    <cellStyle name="Обычный 2 3" xfId="17"/>
    <cellStyle name="Обычный 2 4" xfId="3"/>
    <cellStyle name="Обычный 3" xfId="78"/>
    <cellStyle name="Обычный 3 5" xfId="15"/>
    <cellStyle name="Обычный 4 2" xfId="4"/>
    <cellStyle name="Обычный 5" xfId="6"/>
    <cellStyle name="Плохой" xfId="73"/>
    <cellStyle name="Пояснение" xfId="74"/>
    <cellStyle name="Примечание" xfId="75"/>
    <cellStyle name="Стиль 1" xfId="76"/>
    <cellStyle name="Финансовый 2" xfId="23"/>
    <cellStyle name="Фінансовий 2" xfId="77"/>
  </cellStyles>
  <dxfs count="0"/>
  <tableStyles count="0" defaultTableStyle="TableStyleMedium2" defaultPivotStyle="PivotStyleLight16"/>
  <colors>
    <mruColors>
      <color rgb="FFCC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http://www8.city-adm.lviv.ua/icons/ecblank.gif" TargetMode="External"/><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38</xdr:col>
      <xdr:colOff>0</xdr:colOff>
      <xdr:row>512</xdr:row>
      <xdr:rowOff>0</xdr:rowOff>
    </xdr:from>
    <xdr:to>
      <xdr:col>38</xdr:col>
      <xdr:colOff>9525</xdr:colOff>
      <xdr:row>512</xdr:row>
      <xdr:rowOff>9525</xdr:rowOff>
    </xdr:to>
    <xdr:pic>
      <xdr:nvPicPr>
        <xdr:cNvPr id="23"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9326225" y="4914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513</xdr:row>
      <xdr:rowOff>0</xdr:rowOff>
    </xdr:from>
    <xdr:to>
      <xdr:col>38</xdr:col>
      <xdr:colOff>9525</xdr:colOff>
      <xdr:row>513</xdr:row>
      <xdr:rowOff>9525</xdr:rowOff>
    </xdr:to>
    <xdr:pic>
      <xdr:nvPicPr>
        <xdr:cNvPr id="24"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9326225" y="5762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514</xdr:row>
      <xdr:rowOff>0</xdr:rowOff>
    </xdr:from>
    <xdr:to>
      <xdr:col>38</xdr:col>
      <xdr:colOff>9525</xdr:colOff>
      <xdr:row>514</xdr:row>
      <xdr:rowOff>9525</xdr:rowOff>
    </xdr:to>
    <xdr:pic>
      <xdr:nvPicPr>
        <xdr:cNvPr id="25"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9326225" y="6610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514</xdr:row>
      <xdr:rowOff>0</xdr:rowOff>
    </xdr:from>
    <xdr:to>
      <xdr:col>38</xdr:col>
      <xdr:colOff>9525</xdr:colOff>
      <xdr:row>514</xdr:row>
      <xdr:rowOff>9525</xdr:rowOff>
    </xdr:to>
    <xdr:pic>
      <xdr:nvPicPr>
        <xdr:cNvPr id="26"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9326225" y="6610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514</xdr:row>
      <xdr:rowOff>0</xdr:rowOff>
    </xdr:from>
    <xdr:to>
      <xdr:col>38</xdr:col>
      <xdr:colOff>9525</xdr:colOff>
      <xdr:row>514</xdr:row>
      <xdr:rowOff>9525</xdr:rowOff>
    </xdr:to>
    <xdr:pic>
      <xdr:nvPicPr>
        <xdr:cNvPr id="27"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9326225" y="6610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514</xdr:row>
      <xdr:rowOff>0</xdr:rowOff>
    </xdr:from>
    <xdr:to>
      <xdr:col>38</xdr:col>
      <xdr:colOff>9525</xdr:colOff>
      <xdr:row>514</xdr:row>
      <xdr:rowOff>9525</xdr:rowOff>
    </xdr:to>
    <xdr:pic>
      <xdr:nvPicPr>
        <xdr:cNvPr id="28"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9326225" y="6610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3181350</xdr:colOff>
      <xdr:row>512</xdr:row>
      <xdr:rowOff>114300</xdr:rowOff>
    </xdr:from>
    <xdr:to>
      <xdr:col>9</xdr:col>
      <xdr:colOff>3190875</xdr:colOff>
      <xdr:row>512</xdr:row>
      <xdr:rowOff>123825</xdr:rowOff>
    </xdr:to>
    <xdr:pic>
      <xdr:nvPicPr>
        <xdr:cNvPr id="29" name="Picture 20"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477125" y="5029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513</xdr:row>
      <xdr:rowOff>0</xdr:rowOff>
    </xdr:from>
    <xdr:to>
      <xdr:col>38</xdr:col>
      <xdr:colOff>9525</xdr:colOff>
      <xdr:row>513</xdr:row>
      <xdr:rowOff>9525</xdr:rowOff>
    </xdr:to>
    <xdr:pic>
      <xdr:nvPicPr>
        <xdr:cNvPr id="30"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9326225" y="5762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512</xdr:row>
      <xdr:rowOff>0</xdr:rowOff>
    </xdr:from>
    <xdr:to>
      <xdr:col>38</xdr:col>
      <xdr:colOff>9525</xdr:colOff>
      <xdr:row>512</xdr:row>
      <xdr:rowOff>9525</xdr:rowOff>
    </xdr:to>
    <xdr:pic>
      <xdr:nvPicPr>
        <xdr:cNvPr id="31"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9326225" y="4914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513</xdr:row>
      <xdr:rowOff>0</xdr:rowOff>
    </xdr:from>
    <xdr:to>
      <xdr:col>38</xdr:col>
      <xdr:colOff>9525</xdr:colOff>
      <xdr:row>513</xdr:row>
      <xdr:rowOff>9525</xdr:rowOff>
    </xdr:to>
    <xdr:pic>
      <xdr:nvPicPr>
        <xdr:cNvPr id="32"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9326225" y="5762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514</xdr:row>
      <xdr:rowOff>0</xdr:rowOff>
    </xdr:from>
    <xdr:to>
      <xdr:col>38</xdr:col>
      <xdr:colOff>9525</xdr:colOff>
      <xdr:row>514</xdr:row>
      <xdr:rowOff>9525</xdr:rowOff>
    </xdr:to>
    <xdr:pic>
      <xdr:nvPicPr>
        <xdr:cNvPr id="33"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9326225" y="6610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35</xdr:col>
      <xdr:colOff>0</xdr:colOff>
      <xdr:row>512</xdr:row>
      <xdr:rowOff>0</xdr:rowOff>
    </xdr:from>
    <xdr:to>
      <xdr:col>35</xdr:col>
      <xdr:colOff>9525</xdr:colOff>
      <xdr:row>512</xdr:row>
      <xdr:rowOff>9525</xdr:rowOff>
    </xdr:to>
    <xdr:pic>
      <xdr:nvPicPr>
        <xdr:cNvPr id="34"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22221825" y="4914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35</xdr:col>
      <xdr:colOff>0</xdr:colOff>
      <xdr:row>512</xdr:row>
      <xdr:rowOff>0</xdr:rowOff>
    </xdr:from>
    <xdr:to>
      <xdr:col>35</xdr:col>
      <xdr:colOff>9525</xdr:colOff>
      <xdr:row>512</xdr:row>
      <xdr:rowOff>9525</xdr:rowOff>
    </xdr:to>
    <xdr:pic>
      <xdr:nvPicPr>
        <xdr:cNvPr id="35"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22221825" y="4914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511</xdr:row>
      <xdr:rowOff>0</xdr:rowOff>
    </xdr:from>
    <xdr:to>
      <xdr:col>38</xdr:col>
      <xdr:colOff>9525</xdr:colOff>
      <xdr:row>511</xdr:row>
      <xdr:rowOff>9525</xdr:rowOff>
    </xdr:to>
    <xdr:pic>
      <xdr:nvPicPr>
        <xdr:cNvPr id="36"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9326225" y="430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511</xdr:row>
      <xdr:rowOff>0</xdr:rowOff>
    </xdr:from>
    <xdr:to>
      <xdr:col>38</xdr:col>
      <xdr:colOff>9525</xdr:colOff>
      <xdr:row>511</xdr:row>
      <xdr:rowOff>9525</xdr:rowOff>
    </xdr:to>
    <xdr:pic>
      <xdr:nvPicPr>
        <xdr:cNvPr id="37"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9326225" y="430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511</xdr:row>
      <xdr:rowOff>0</xdr:rowOff>
    </xdr:from>
    <xdr:to>
      <xdr:col>38</xdr:col>
      <xdr:colOff>9525</xdr:colOff>
      <xdr:row>511</xdr:row>
      <xdr:rowOff>9525</xdr:rowOff>
    </xdr:to>
    <xdr:pic>
      <xdr:nvPicPr>
        <xdr:cNvPr id="38"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9326225" y="430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511</xdr:row>
      <xdr:rowOff>0</xdr:rowOff>
    </xdr:from>
    <xdr:to>
      <xdr:col>38</xdr:col>
      <xdr:colOff>9525</xdr:colOff>
      <xdr:row>511</xdr:row>
      <xdr:rowOff>9525</xdr:rowOff>
    </xdr:to>
    <xdr:pic>
      <xdr:nvPicPr>
        <xdr:cNvPr id="39"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9326225" y="430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511</xdr:row>
      <xdr:rowOff>0</xdr:rowOff>
    </xdr:from>
    <xdr:to>
      <xdr:col>38</xdr:col>
      <xdr:colOff>9525</xdr:colOff>
      <xdr:row>511</xdr:row>
      <xdr:rowOff>9525</xdr:rowOff>
    </xdr:to>
    <xdr:pic>
      <xdr:nvPicPr>
        <xdr:cNvPr id="40"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9326225" y="430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3181350</xdr:colOff>
      <xdr:row>513</xdr:row>
      <xdr:rowOff>114300</xdr:rowOff>
    </xdr:from>
    <xdr:to>
      <xdr:col>9</xdr:col>
      <xdr:colOff>3190875</xdr:colOff>
      <xdr:row>513</xdr:row>
      <xdr:rowOff>123825</xdr:rowOff>
    </xdr:to>
    <xdr:pic>
      <xdr:nvPicPr>
        <xdr:cNvPr id="41" name="Picture 20"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477125" y="5876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3181350</xdr:colOff>
      <xdr:row>514</xdr:row>
      <xdr:rowOff>114300</xdr:rowOff>
    </xdr:from>
    <xdr:to>
      <xdr:col>9</xdr:col>
      <xdr:colOff>3190875</xdr:colOff>
      <xdr:row>514</xdr:row>
      <xdr:rowOff>123825</xdr:rowOff>
    </xdr:to>
    <xdr:pic>
      <xdr:nvPicPr>
        <xdr:cNvPr id="42" name="Picture 20"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477125" y="6724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3181350</xdr:colOff>
      <xdr:row>518</xdr:row>
      <xdr:rowOff>114300</xdr:rowOff>
    </xdr:from>
    <xdr:to>
      <xdr:col>9</xdr:col>
      <xdr:colOff>3190875</xdr:colOff>
      <xdr:row>518</xdr:row>
      <xdr:rowOff>123825</xdr:rowOff>
    </xdr:to>
    <xdr:pic>
      <xdr:nvPicPr>
        <xdr:cNvPr id="43" name="Picture 20"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477125" y="7572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512</xdr:row>
      <xdr:rowOff>0</xdr:rowOff>
    </xdr:from>
    <xdr:to>
      <xdr:col>38</xdr:col>
      <xdr:colOff>9525</xdr:colOff>
      <xdr:row>512</xdr:row>
      <xdr:rowOff>9525</xdr:rowOff>
    </xdr:to>
    <xdr:pic>
      <xdr:nvPicPr>
        <xdr:cNvPr id="128"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5422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513</xdr:row>
      <xdr:rowOff>0</xdr:rowOff>
    </xdr:from>
    <xdr:to>
      <xdr:col>38</xdr:col>
      <xdr:colOff>9525</xdr:colOff>
      <xdr:row>513</xdr:row>
      <xdr:rowOff>9525</xdr:rowOff>
    </xdr:to>
    <xdr:pic>
      <xdr:nvPicPr>
        <xdr:cNvPr id="129"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6051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514</xdr:row>
      <xdr:rowOff>0</xdr:rowOff>
    </xdr:from>
    <xdr:to>
      <xdr:col>38</xdr:col>
      <xdr:colOff>9525</xdr:colOff>
      <xdr:row>514</xdr:row>
      <xdr:rowOff>9525</xdr:rowOff>
    </xdr:to>
    <xdr:pic>
      <xdr:nvPicPr>
        <xdr:cNvPr id="130"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6470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514</xdr:row>
      <xdr:rowOff>0</xdr:rowOff>
    </xdr:from>
    <xdr:to>
      <xdr:col>38</xdr:col>
      <xdr:colOff>9525</xdr:colOff>
      <xdr:row>514</xdr:row>
      <xdr:rowOff>9525</xdr:rowOff>
    </xdr:to>
    <xdr:pic>
      <xdr:nvPicPr>
        <xdr:cNvPr id="131"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6470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514</xdr:row>
      <xdr:rowOff>0</xdr:rowOff>
    </xdr:from>
    <xdr:to>
      <xdr:col>38</xdr:col>
      <xdr:colOff>9525</xdr:colOff>
      <xdr:row>514</xdr:row>
      <xdr:rowOff>9525</xdr:rowOff>
    </xdr:to>
    <xdr:pic>
      <xdr:nvPicPr>
        <xdr:cNvPr id="132"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6470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514</xdr:row>
      <xdr:rowOff>0</xdr:rowOff>
    </xdr:from>
    <xdr:to>
      <xdr:col>38</xdr:col>
      <xdr:colOff>9525</xdr:colOff>
      <xdr:row>514</xdr:row>
      <xdr:rowOff>9525</xdr:rowOff>
    </xdr:to>
    <xdr:pic>
      <xdr:nvPicPr>
        <xdr:cNvPr id="133"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6470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3181350</xdr:colOff>
      <xdr:row>512</xdr:row>
      <xdr:rowOff>114300</xdr:rowOff>
    </xdr:from>
    <xdr:to>
      <xdr:col>9</xdr:col>
      <xdr:colOff>3190875</xdr:colOff>
      <xdr:row>512</xdr:row>
      <xdr:rowOff>123825</xdr:rowOff>
    </xdr:to>
    <xdr:pic>
      <xdr:nvPicPr>
        <xdr:cNvPr id="134" name="Picture 20"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419850" y="25553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513</xdr:row>
      <xdr:rowOff>0</xdr:rowOff>
    </xdr:from>
    <xdr:to>
      <xdr:col>38</xdr:col>
      <xdr:colOff>9525</xdr:colOff>
      <xdr:row>513</xdr:row>
      <xdr:rowOff>9525</xdr:rowOff>
    </xdr:to>
    <xdr:pic>
      <xdr:nvPicPr>
        <xdr:cNvPr id="135"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6051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512</xdr:row>
      <xdr:rowOff>0</xdr:rowOff>
    </xdr:from>
    <xdr:to>
      <xdr:col>38</xdr:col>
      <xdr:colOff>9525</xdr:colOff>
      <xdr:row>512</xdr:row>
      <xdr:rowOff>9525</xdr:rowOff>
    </xdr:to>
    <xdr:pic>
      <xdr:nvPicPr>
        <xdr:cNvPr id="136"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5422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513</xdr:row>
      <xdr:rowOff>0</xdr:rowOff>
    </xdr:from>
    <xdr:to>
      <xdr:col>38</xdr:col>
      <xdr:colOff>9525</xdr:colOff>
      <xdr:row>513</xdr:row>
      <xdr:rowOff>9525</xdr:rowOff>
    </xdr:to>
    <xdr:pic>
      <xdr:nvPicPr>
        <xdr:cNvPr id="137"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6051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514</xdr:row>
      <xdr:rowOff>0</xdr:rowOff>
    </xdr:from>
    <xdr:to>
      <xdr:col>38</xdr:col>
      <xdr:colOff>9525</xdr:colOff>
      <xdr:row>514</xdr:row>
      <xdr:rowOff>9525</xdr:rowOff>
    </xdr:to>
    <xdr:pic>
      <xdr:nvPicPr>
        <xdr:cNvPr id="138"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6470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35</xdr:col>
      <xdr:colOff>0</xdr:colOff>
      <xdr:row>512</xdr:row>
      <xdr:rowOff>0</xdr:rowOff>
    </xdr:from>
    <xdr:to>
      <xdr:col>35</xdr:col>
      <xdr:colOff>9525</xdr:colOff>
      <xdr:row>512</xdr:row>
      <xdr:rowOff>9525</xdr:rowOff>
    </xdr:to>
    <xdr:pic>
      <xdr:nvPicPr>
        <xdr:cNvPr id="139"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8011775" y="255422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35</xdr:col>
      <xdr:colOff>0</xdr:colOff>
      <xdr:row>512</xdr:row>
      <xdr:rowOff>0</xdr:rowOff>
    </xdr:from>
    <xdr:to>
      <xdr:col>35</xdr:col>
      <xdr:colOff>9525</xdr:colOff>
      <xdr:row>512</xdr:row>
      <xdr:rowOff>9525</xdr:rowOff>
    </xdr:to>
    <xdr:pic>
      <xdr:nvPicPr>
        <xdr:cNvPr id="140"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8011775" y="255422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511</xdr:row>
      <xdr:rowOff>0</xdr:rowOff>
    </xdr:from>
    <xdr:to>
      <xdr:col>38</xdr:col>
      <xdr:colOff>9525</xdr:colOff>
      <xdr:row>511</xdr:row>
      <xdr:rowOff>9525</xdr:rowOff>
    </xdr:to>
    <xdr:pic>
      <xdr:nvPicPr>
        <xdr:cNvPr id="141"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4793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511</xdr:row>
      <xdr:rowOff>0</xdr:rowOff>
    </xdr:from>
    <xdr:to>
      <xdr:col>38</xdr:col>
      <xdr:colOff>9525</xdr:colOff>
      <xdr:row>511</xdr:row>
      <xdr:rowOff>9525</xdr:rowOff>
    </xdr:to>
    <xdr:pic>
      <xdr:nvPicPr>
        <xdr:cNvPr id="142"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4793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511</xdr:row>
      <xdr:rowOff>0</xdr:rowOff>
    </xdr:from>
    <xdr:to>
      <xdr:col>38</xdr:col>
      <xdr:colOff>9525</xdr:colOff>
      <xdr:row>511</xdr:row>
      <xdr:rowOff>9525</xdr:rowOff>
    </xdr:to>
    <xdr:pic>
      <xdr:nvPicPr>
        <xdr:cNvPr id="143"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4793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511</xdr:row>
      <xdr:rowOff>0</xdr:rowOff>
    </xdr:from>
    <xdr:to>
      <xdr:col>38</xdr:col>
      <xdr:colOff>9525</xdr:colOff>
      <xdr:row>511</xdr:row>
      <xdr:rowOff>9525</xdr:rowOff>
    </xdr:to>
    <xdr:pic>
      <xdr:nvPicPr>
        <xdr:cNvPr id="144"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4793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511</xdr:row>
      <xdr:rowOff>0</xdr:rowOff>
    </xdr:from>
    <xdr:to>
      <xdr:col>38</xdr:col>
      <xdr:colOff>9525</xdr:colOff>
      <xdr:row>511</xdr:row>
      <xdr:rowOff>9525</xdr:rowOff>
    </xdr:to>
    <xdr:pic>
      <xdr:nvPicPr>
        <xdr:cNvPr id="145"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4793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3181350</xdr:colOff>
      <xdr:row>513</xdr:row>
      <xdr:rowOff>114300</xdr:rowOff>
    </xdr:from>
    <xdr:to>
      <xdr:col>9</xdr:col>
      <xdr:colOff>3190875</xdr:colOff>
      <xdr:row>513</xdr:row>
      <xdr:rowOff>123825</xdr:rowOff>
    </xdr:to>
    <xdr:pic>
      <xdr:nvPicPr>
        <xdr:cNvPr id="146" name="Picture 20"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419850" y="25616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3181350</xdr:colOff>
      <xdr:row>514</xdr:row>
      <xdr:rowOff>114300</xdr:rowOff>
    </xdr:from>
    <xdr:to>
      <xdr:col>9</xdr:col>
      <xdr:colOff>3190875</xdr:colOff>
      <xdr:row>514</xdr:row>
      <xdr:rowOff>123825</xdr:rowOff>
    </xdr:to>
    <xdr:pic>
      <xdr:nvPicPr>
        <xdr:cNvPr id="147" name="Picture 20"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419850" y="256584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3181350</xdr:colOff>
      <xdr:row>518</xdr:row>
      <xdr:rowOff>114300</xdr:rowOff>
    </xdr:from>
    <xdr:to>
      <xdr:col>9</xdr:col>
      <xdr:colOff>3190875</xdr:colOff>
      <xdr:row>518</xdr:row>
      <xdr:rowOff>123825</xdr:rowOff>
    </xdr:to>
    <xdr:pic>
      <xdr:nvPicPr>
        <xdr:cNvPr id="148" name="Picture 20"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419850" y="258803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512</xdr:row>
      <xdr:rowOff>0</xdr:rowOff>
    </xdr:from>
    <xdr:to>
      <xdr:col>38</xdr:col>
      <xdr:colOff>9525</xdr:colOff>
      <xdr:row>512</xdr:row>
      <xdr:rowOff>9525</xdr:rowOff>
    </xdr:to>
    <xdr:pic>
      <xdr:nvPicPr>
        <xdr:cNvPr id="191"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5422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513</xdr:row>
      <xdr:rowOff>0</xdr:rowOff>
    </xdr:from>
    <xdr:to>
      <xdr:col>38</xdr:col>
      <xdr:colOff>9525</xdr:colOff>
      <xdr:row>513</xdr:row>
      <xdr:rowOff>9525</xdr:rowOff>
    </xdr:to>
    <xdr:pic>
      <xdr:nvPicPr>
        <xdr:cNvPr id="192"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6051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514</xdr:row>
      <xdr:rowOff>0</xdr:rowOff>
    </xdr:from>
    <xdr:to>
      <xdr:col>38</xdr:col>
      <xdr:colOff>9525</xdr:colOff>
      <xdr:row>514</xdr:row>
      <xdr:rowOff>9525</xdr:rowOff>
    </xdr:to>
    <xdr:pic>
      <xdr:nvPicPr>
        <xdr:cNvPr id="193"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6470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514</xdr:row>
      <xdr:rowOff>0</xdr:rowOff>
    </xdr:from>
    <xdr:to>
      <xdr:col>38</xdr:col>
      <xdr:colOff>9525</xdr:colOff>
      <xdr:row>514</xdr:row>
      <xdr:rowOff>9525</xdr:rowOff>
    </xdr:to>
    <xdr:pic>
      <xdr:nvPicPr>
        <xdr:cNvPr id="194"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6470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514</xdr:row>
      <xdr:rowOff>0</xdr:rowOff>
    </xdr:from>
    <xdr:to>
      <xdr:col>38</xdr:col>
      <xdr:colOff>9525</xdr:colOff>
      <xdr:row>514</xdr:row>
      <xdr:rowOff>9525</xdr:rowOff>
    </xdr:to>
    <xdr:pic>
      <xdr:nvPicPr>
        <xdr:cNvPr id="195"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6470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514</xdr:row>
      <xdr:rowOff>0</xdr:rowOff>
    </xdr:from>
    <xdr:to>
      <xdr:col>38</xdr:col>
      <xdr:colOff>9525</xdr:colOff>
      <xdr:row>514</xdr:row>
      <xdr:rowOff>9525</xdr:rowOff>
    </xdr:to>
    <xdr:pic>
      <xdr:nvPicPr>
        <xdr:cNvPr id="196"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6470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3181350</xdr:colOff>
      <xdr:row>512</xdr:row>
      <xdr:rowOff>114300</xdr:rowOff>
    </xdr:from>
    <xdr:to>
      <xdr:col>9</xdr:col>
      <xdr:colOff>3190875</xdr:colOff>
      <xdr:row>512</xdr:row>
      <xdr:rowOff>123825</xdr:rowOff>
    </xdr:to>
    <xdr:pic>
      <xdr:nvPicPr>
        <xdr:cNvPr id="197" name="Picture 20"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419850" y="25553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513</xdr:row>
      <xdr:rowOff>0</xdr:rowOff>
    </xdr:from>
    <xdr:to>
      <xdr:col>38</xdr:col>
      <xdr:colOff>9525</xdr:colOff>
      <xdr:row>513</xdr:row>
      <xdr:rowOff>9525</xdr:rowOff>
    </xdr:to>
    <xdr:pic>
      <xdr:nvPicPr>
        <xdr:cNvPr id="198"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6051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512</xdr:row>
      <xdr:rowOff>0</xdr:rowOff>
    </xdr:from>
    <xdr:to>
      <xdr:col>38</xdr:col>
      <xdr:colOff>9525</xdr:colOff>
      <xdr:row>512</xdr:row>
      <xdr:rowOff>9525</xdr:rowOff>
    </xdr:to>
    <xdr:pic>
      <xdr:nvPicPr>
        <xdr:cNvPr id="199"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5422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513</xdr:row>
      <xdr:rowOff>0</xdr:rowOff>
    </xdr:from>
    <xdr:to>
      <xdr:col>38</xdr:col>
      <xdr:colOff>9525</xdr:colOff>
      <xdr:row>513</xdr:row>
      <xdr:rowOff>9525</xdr:rowOff>
    </xdr:to>
    <xdr:pic>
      <xdr:nvPicPr>
        <xdr:cNvPr id="200"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6051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514</xdr:row>
      <xdr:rowOff>0</xdr:rowOff>
    </xdr:from>
    <xdr:to>
      <xdr:col>38</xdr:col>
      <xdr:colOff>9525</xdr:colOff>
      <xdr:row>514</xdr:row>
      <xdr:rowOff>9525</xdr:rowOff>
    </xdr:to>
    <xdr:pic>
      <xdr:nvPicPr>
        <xdr:cNvPr id="201"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6470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35</xdr:col>
      <xdr:colOff>0</xdr:colOff>
      <xdr:row>512</xdr:row>
      <xdr:rowOff>0</xdr:rowOff>
    </xdr:from>
    <xdr:to>
      <xdr:col>35</xdr:col>
      <xdr:colOff>9525</xdr:colOff>
      <xdr:row>512</xdr:row>
      <xdr:rowOff>9525</xdr:rowOff>
    </xdr:to>
    <xdr:pic>
      <xdr:nvPicPr>
        <xdr:cNvPr id="202"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8011775" y="255422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35</xdr:col>
      <xdr:colOff>0</xdr:colOff>
      <xdr:row>512</xdr:row>
      <xdr:rowOff>0</xdr:rowOff>
    </xdr:from>
    <xdr:to>
      <xdr:col>35</xdr:col>
      <xdr:colOff>9525</xdr:colOff>
      <xdr:row>512</xdr:row>
      <xdr:rowOff>9525</xdr:rowOff>
    </xdr:to>
    <xdr:pic>
      <xdr:nvPicPr>
        <xdr:cNvPr id="203"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8011775" y="255422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511</xdr:row>
      <xdr:rowOff>0</xdr:rowOff>
    </xdr:from>
    <xdr:to>
      <xdr:col>38</xdr:col>
      <xdr:colOff>9525</xdr:colOff>
      <xdr:row>511</xdr:row>
      <xdr:rowOff>9525</xdr:rowOff>
    </xdr:to>
    <xdr:pic>
      <xdr:nvPicPr>
        <xdr:cNvPr id="204"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4793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511</xdr:row>
      <xdr:rowOff>0</xdr:rowOff>
    </xdr:from>
    <xdr:to>
      <xdr:col>38</xdr:col>
      <xdr:colOff>9525</xdr:colOff>
      <xdr:row>511</xdr:row>
      <xdr:rowOff>9525</xdr:rowOff>
    </xdr:to>
    <xdr:pic>
      <xdr:nvPicPr>
        <xdr:cNvPr id="205" name="Picture 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4793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511</xdr:row>
      <xdr:rowOff>0</xdr:rowOff>
    </xdr:from>
    <xdr:to>
      <xdr:col>38</xdr:col>
      <xdr:colOff>9525</xdr:colOff>
      <xdr:row>511</xdr:row>
      <xdr:rowOff>9525</xdr:rowOff>
    </xdr:to>
    <xdr:pic>
      <xdr:nvPicPr>
        <xdr:cNvPr id="206"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4793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511</xdr:row>
      <xdr:rowOff>0</xdr:rowOff>
    </xdr:from>
    <xdr:to>
      <xdr:col>38</xdr:col>
      <xdr:colOff>9525</xdr:colOff>
      <xdr:row>511</xdr:row>
      <xdr:rowOff>9525</xdr:rowOff>
    </xdr:to>
    <xdr:pic>
      <xdr:nvPicPr>
        <xdr:cNvPr id="207"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4793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38</xdr:col>
      <xdr:colOff>0</xdr:colOff>
      <xdr:row>511</xdr:row>
      <xdr:rowOff>0</xdr:rowOff>
    </xdr:from>
    <xdr:to>
      <xdr:col>38</xdr:col>
      <xdr:colOff>9525</xdr:colOff>
      <xdr:row>511</xdr:row>
      <xdr:rowOff>9525</xdr:rowOff>
    </xdr:to>
    <xdr:pic>
      <xdr:nvPicPr>
        <xdr:cNvPr id="208" name="Picture 34"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4697075" y="254793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3181350</xdr:colOff>
      <xdr:row>513</xdr:row>
      <xdr:rowOff>114300</xdr:rowOff>
    </xdr:from>
    <xdr:to>
      <xdr:col>9</xdr:col>
      <xdr:colOff>3190875</xdr:colOff>
      <xdr:row>513</xdr:row>
      <xdr:rowOff>123825</xdr:rowOff>
    </xdr:to>
    <xdr:pic>
      <xdr:nvPicPr>
        <xdr:cNvPr id="209" name="Picture 20"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419850" y="25616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3181350</xdr:colOff>
      <xdr:row>514</xdr:row>
      <xdr:rowOff>114300</xdr:rowOff>
    </xdr:from>
    <xdr:to>
      <xdr:col>9</xdr:col>
      <xdr:colOff>3190875</xdr:colOff>
      <xdr:row>514</xdr:row>
      <xdr:rowOff>123825</xdr:rowOff>
    </xdr:to>
    <xdr:pic>
      <xdr:nvPicPr>
        <xdr:cNvPr id="210" name="Picture 20"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419850" y="256584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3181350</xdr:colOff>
      <xdr:row>518</xdr:row>
      <xdr:rowOff>114300</xdr:rowOff>
    </xdr:from>
    <xdr:to>
      <xdr:col>9</xdr:col>
      <xdr:colOff>3190875</xdr:colOff>
      <xdr:row>518</xdr:row>
      <xdr:rowOff>123825</xdr:rowOff>
    </xdr:to>
    <xdr:pic>
      <xdr:nvPicPr>
        <xdr:cNvPr id="211" name="Picture 20" descr="http://www8.city-adm.lviv.ua/icons/ecblank.gif"/>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6419850" y="258803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XEX1169"/>
  <sheetViews>
    <sheetView tabSelected="1" view="pageBreakPreview" zoomScale="60" zoomScaleNormal="78" zoomScalePageLayoutView="80" workbookViewId="0">
      <pane ySplit="1" topLeftCell="A2" activePane="bottomLeft" state="frozen"/>
      <selection pane="bottomLeft" activeCell="K18" sqref="K18"/>
    </sheetView>
  </sheetViews>
  <sheetFormatPr defaultColWidth="7.85546875" defaultRowHeight="16.5"/>
  <cols>
    <col min="1" max="1" width="7.85546875" style="32"/>
    <col min="2" max="2" width="8" style="32" bestFit="1" customWidth="1"/>
    <col min="3" max="3" width="8" style="32" customWidth="1"/>
    <col min="4" max="4" width="5.42578125" style="32" customWidth="1"/>
    <col min="5" max="6" width="11.7109375" style="32" customWidth="1"/>
    <col min="7" max="8" width="15.7109375" style="15" customWidth="1"/>
    <col min="9" max="9" width="17.140625" style="15" customWidth="1"/>
    <col min="10" max="10" width="67.5703125" style="15" customWidth="1"/>
    <col min="11" max="11" width="66.7109375" style="15" customWidth="1"/>
    <col min="12" max="12" width="28" style="356" customWidth="1"/>
    <col min="13" max="13" width="26.140625" style="357" customWidth="1"/>
    <col min="14" max="14" width="26.140625" style="358" customWidth="1"/>
    <col min="15" max="16" width="21.28515625" style="15" customWidth="1"/>
    <col min="17" max="17" width="28.7109375" style="15" customWidth="1"/>
    <col min="18" max="18" width="28.7109375" style="46" customWidth="1"/>
    <col min="19" max="21" width="26.140625" style="48" customWidth="1"/>
    <col min="22" max="25" width="26.140625" style="17" customWidth="1"/>
    <col min="26" max="27" width="26.140625" style="48" customWidth="1"/>
    <col min="28" max="29" width="26.140625" style="17" customWidth="1"/>
    <col min="30" max="30" width="20.140625" style="17" customWidth="1"/>
    <col min="31" max="31" width="17.5703125" style="17" customWidth="1"/>
    <col min="32" max="32" width="19" style="17" customWidth="1"/>
    <col min="33" max="33" width="20.28515625" style="17" customWidth="1"/>
    <col min="34" max="34" width="20.42578125" style="17" customWidth="1"/>
    <col min="35" max="35" width="21.42578125" style="23" bestFit="1" customWidth="1"/>
    <col min="36" max="36" width="21.28515625" style="16" customWidth="1"/>
    <col min="37" max="37" width="18.28515625" style="16" customWidth="1"/>
    <col min="38" max="38" width="25.5703125" style="16" customWidth="1"/>
    <col min="39" max="39" width="23.5703125" style="16" customWidth="1"/>
    <col min="40" max="40" width="8.140625" style="23" bestFit="1" customWidth="1"/>
    <col min="41" max="16384" width="7.85546875" style="23"/>
  </cols>
  <sheetData>
    <row r="1" spans="1:40" ht="120">
      <c r="C1" s="32" t="s">
        <v>1196</v>
      </c>
      <c r="D1" s="32" t="s">
        <v>1197</v>
      </c>
      <c r="E1" s="32" t="s">
        <v>1046</v>
      </c>
      <c r="G1" s="74" t="s">
        <v>967</v>
      </c>
      <c r="H1" s="75" t="s">
        <v>968</v>
      </c>
      <c r="I1" s="75" t="s">
        <v>969</v>
      </c>
      <c r="J1" s="75" t="s">
        <v>970</v>
      </c>
      <c r="K1" s="75" t="s">
        <v>982</v>
      </c>
      <c r="L1" s="282" t="s">
        <v>1036</v>
      </c>
      <c r="M1" s="282" t="s">
        <v>1449</v>
      </c>
      <c r="N1" s="282" t="s">
        <v>1338</v>
      </c>
      <c r="O1" s="283" t="s">
        <v>1363</v>
      </c>
      <c r="P1" s="282" t="s">
        <v>1339</v>
      </c>
      <c r="Q1" s="283" t="s">
        <v>1450</v>
      </c>
      <c r="R1" s="153"/>
      <c r="S1" s="76" t="s">
        <v>1285</v>
      </c>
      <c r="T1" s="76" t="s">
        <v>1303</v>
      </c>
      <c r="U1" s="76" t="s">
        <v>984</v>
      </c>
      <c r="V1" s="44" t="s">
        <v>703</v>
      </c>
      <c r="W1" s="44" t="s">
        <v>3</v>
      </c>
      <c r="X1" s="44" t="s">
        <v>241</v>
      </c>
      <c r="Y1" s="44" t="s">
        <v>9</v>
      </c>
      <c r="Z1" s="44" t="s">
        <v>1039</v>
      </c>
      <c r="AA1" s="44" t="s">
        <v>1038</v>
      </c>
      <c r="AB1" s="44" t="s">
        <v>10</v>
      </c>
      <c r="AC1" s="44"/>
      <c r="AD1" s="44" t="s">
        <v>4</v>
      </c>
      <c r="AE1" s="44" t="s">
        <v>5</v>
      </c>
      <c r="AF1" s="44" t="s">
        <v>6</v>
      </c>
      <c r="AG1" s="44" t="s">
        <v>7</v>
      </c>
      <c r="AH1" s="44" t="s">
        <v>8</v>
      </c>
      <c r="AI1" s="44" t="s">
        <v>1037</v>
      </c>
      <c r="AJ1" s="75" t="s">
        <v>2</v>
      </c>
      <c r="AK1" s="75" t="s">
        <v>983</v>
      </c>
      <c r="AL1" s="75" t="s">
        <v>0</v>
      </c>
      <c r="AM1" s="75" t="s">
        <v>1</v>
      </c>
      <c r="AN1" s="47"/>
    </row>
    <row r="2" spans="1:40" s="18" customFormat="1">
      <c r="A2" s="33"/>
      <c r="B2" s="33"/>
      <c r="C2" s="33"/>
      <c r="D2" s="33"/>
      <c r="E2" s="33"/>
      <c r="F2" s="33"/>
      <c r="G2" s="77">
        <v>1</v>
      </c>
      <c r="H2" s="77">
        <v>2</v>
      </c>
      <c r="I2" s="77">
        <v>3</v>
      </c>
      <c r="J2" s="77">
        <v>4</v>
      </c>
      <c r="K2" s="77">
        <v>5</v>
      </c>
      <c r="L2" s="284"/>
      <c r="M2" s="285"/>
      <c r="N2" s="286">
        <v>9</v>
      </c>
      <c r="O2" s="286"/>
      <c r="P2" s="286"/>
      <c r="Q2" s="286"/>
      <c r="R2" s="78"/>
      <c r="S2" s="78"/>
      <c r="T2" s="78"/>
      <c r="U2" s="78">
        <v>9</v>
      </c>
      <c r="V2" s="49">
        <v>11</v>
      </c>
      <c r="W2" s="49">
        <v>12</v>
      </c>
      <c r="X2" s="49">
        <v>13</v>
      </c>
      <c r="Y2" s="49">
        <v>14</v>
      </c>
      <c r="Z2" s="49"/>
      <c r="AA2" s="49"/>
      <c r="AB2" s="49">
        <v>15</v>
      </c>
      <c r="AC2" s="49"/>
      <c r="AD2" s="49">
        <v>16</v>
      </c>
      <c r="AE2" s="49">
        <v>17</v>
      </c>
      <c r="AF2" s="49">
        <v>18</v>
      </c>
      <c r="AG2" s="49">
        <v>19</v>
      </c>
      <c r="AH2" s="49">
        <v>20</v>
      </c>
      <c r="AI2" s="49">
        <v>21</v>
      </c>
      <c r="AJ2" s="78">
        <v>10</v>
      </c>
      <c r="AK2" s="78">
        <v>6</v>
      </c>
      <c r="AL2" s="78">
        <v>7</v>
      </c>
      <c r="AM2" s="78">
        <v>8</v>
      </c>
    </row>
    <row r="3" spans="1:40" s="189" customFormat="1">
      <c r="A3" s="181" t="s">
        <v>870</v>
      </c>
      <c r="B3" s="181" t="s">
        <v>193</v>
      </c>
      <c r="C3" s="181"/>
      <c r="D3" s="181"/>
      <c r="E3" s="182" t="s">
        <v>1225</v>
      </c>
      <c r="F3" s="182"/>
      <c r="G3" s="183" t="s">
        <v>11</v>
      </c>
      <c r="H3" s="183"/>
      <c r="I3" s="183"/>
      <c r="J3" s="184" t="s">
        <v>12</v>
      </c>
      <c r="K3" s="185"/>
      <c r="L3" s="287">
        <f>SUM(L5:L5)</f>
        <v>1744120</v>
      </c>
      <c r="M3" s="288">
        <f>SUM(M5:M5)</f>
        <v>0</v>
      </c>
      <c r="N3" s="289">
        <f>SUM(N5:N5)</f>
        <v>1744120</v>
      </c>
      <c r="O3" s="289">
        <f t="shared" ref="O3:P3" si="0">SUM(O5:O5)</f>
        <v>0</v>
      </c>
      <c r="P3" s="289">
        <f t="shared" si="0"/>
        <v>0</v>
      </c>
      <c r="Q3" s="289">
        <f t="shared" ref="Q3" si="1">SUM(Q5:Q5)</f>
        <v>0</v>
      </c>
      <c r="R3" s="187">
        <f>L3-M3-N3-O3-P3-Q3</f>
        <v>0</v>
      </c>
      <c r="S3" s="187">
        <f>SUM(S5:S5)</f>
        <v>0</v>
      </c>
      <c r="T3" s="187"/>
      <c r="U3" s="187">
        <f>SUM(U5:U5)</f>
        <v>1744120</v>
      </c>
      <c r="V3" s="187"/>
      <c r="W3" s="187"/>
      <c r="X3" s="187">
        <f>SUM(X5:X5)</f>
        <v>0</v>
      </c>
      <c r="Y3" s="187">
        <f>SUM(Y5:Y5)</f>
        <v>0</v>
      </c>
      <c r="Z3" s="187"/>
      <c r="AA3" s="187"/>
      <c r="AB3" s="187">
        <f>SUM(AB5:AB5)</f>
        <v>1744120</v>
      </c>
      <c r="AC3" s="187">
        <f>X3+Y3+AB3-N3</f>
        <v>0</v>
      </c>
      <c r="AD3" s="187">
        <f>SUM(AD5:AD5)</f>
        <v>0</v>
      </c>
      <c r="AE3" s="187">
        <f>SUM(AE5:AE5)</f>
        <v>0</v>
      </c>
      <c r="AF3" s="187">
        <f>SUM(AF5:AF5)</f>
        <v>0</v>
      </c>
      <c r="AG3" s="187">
        <f>SUM(AG5:AG5)</f>
        <v>0</v>
      </c>
      <c r="AH3" s="187">
        <f>SUM(AH5:AH5)</f>
        <v>0</v>
      </c>
      <c r="AI3" s="188"/>
      <c r="AJ3" s="187"/>
      <c r="AK3" s="185"/>
      <c r="AL3" s="185"/>
      <c r="AM3" s="185"/>
    </row>
    <row r="4" spans="1:40" s="189" customFormat="1">
      <c r="A4" s="181" t="s">
        <v>870</v>
      </c>
      <c r="B4" s="181"/>
      <c r="C4" s="181"/>
      <c r="D4" s="181"/>
      <c r="E4" s="182" t="s">
        <v>1225</v>
      </c>
      <c r="F4" s="182"/>
      <c r="G4" s="183" t="s">
        <v>13</v>
      </c>
      <c r="H4" s="183"/>
      <c r="I4" s="183"/>
      <c r="J4" s="190" t="s">
        <v>12</v>
      </c>
      <c r="K4" s="185"/>
      <c r="L4" s="290"/>
      <c r="M4" s="291"/>
      <c r="N4" s="292"/>
      <c r="O4" s="292"/>
      <c r="P4" s="292"/>
      <c r="Q4" s="292"/>
      <c r="R4" s="187">
        <f>L4-M4-N4-O4-P4-Q4</f>
        <v>0</v>
      </c>
      <c r="S4" s="192"/>
      <c r="T4" s="192"/>
      <c r="U4" s="192"/>
      <c r="V4" s="192"/>
      <c r="W4" s="192"/>
      <c r="X4" s="192"/>
      <c r="Y4" s="192"/>
      <c r="Z4" s="192"/>
      <c r="AA4" s="192"/>
      <c r="AB4" s="192"/>
      <c r="AC4" s="192"/>
      <c r="AD4" s="192"/>
      <c r="AE4" s="192"/>
      <c r="AF4" s="192"/>
      <c r="AG4" s="192"/>
      <c r="AH4" s="192"/>
      <c r="AI4" s="188"/>
      <c r="AJ4" s="192"/>
      <c r="AK4" s="185"/>
      <c r="AL4" s="185"/>
      <c r="AM4" s="185"/>
    </row>
    <row r="5" spans="1:40" s="27" customFormat="1" ht="36.75" customHeight="1">
      <c r="A5" s="33" t="s">
        <v>870</v>
      </c>
      <c r="B5" s="34"/>
      <c r="C5" s="72"/>
      <c r="D5" s="72"/>
      <c r="E5" s="120" t="s">
        <v>1469</v>
      </c>
      <c r="F5" s="120"/>
      <c r="G5" s="80" t="s">
        <v>14</v>
      </c>
      <c r="H5" s="80" t="s">
        <v>15</v>
      </c>
      <c r="I5" s="80" t="s">
        <v>16</v>
      </c>
      <c r="J5" s="81" t="s">
        <v>17</v>
      </c>
      <c r="K5" s="82" t="s">
        <v>18</v>
      </c>
      <c r="L5" s="293">
        <f>SUM(M5:Q5)</f>
        <v>1744120</v>
      </c>
      <c r="M5" s="294"/>
      <c r="N5" s="294">
        <v>1744120</v>
      </c>
      <c r="O5" s="286"/>
      <c r="P5" s="286"/>
      <c r="Q5" s="286"/>
      <c r="R5" s="78"/>
      <c r="S5" s="70"/>
      <c r="T5" s="70"/>
      <c r="U5" s="70">
        <v>1744120</v>
      </c>
      <c r="V5" s="39">
        <v>3</v>
      </c>
      <c r="W5" s="70"/>
      <c r="X5" s="70"/>
      <c r="Y5" s="70"/>
      <c r="Z5" s="70"/>
      <c r="AA5" s="70"/>
      <c r="AB5" s="70">
        <v>1744120</v>
      </c>
      <c r="AC5" s="70"/>
      <c r="AD5" s="70"/>
      <c r="AE5" s="70"/>
      <c r="AF5" s="70"/>
      <c r="AG5" s="70"/>
      <c r="AH5" s="70"/>
      <c r="AI5" s="14"/>
      <c r="AJ5" s="78"/>
      <c r="AK5" s="78">
        <v>2021</v>
      </c>
      <c r="AL5" s="83"/>
      <c r="AM5" s="84"/>
    </row>
    <row r="6" spans="1:40" s="198" customFormat="1" ht="16.5" customHeight="1">
      <c r="A6" s="193" t="s">
        <v>871</v>
      </c>
      <c r="B6" s="181" t="s">
        <v>193</v>
      </c>
      <c r="C6" s="181"/>
      <c r="D6" s="181"/>
      <c r="E6" s="182" t="s">
        <v>1225</v>
      </c>
      <c r="F6" s="182"/>
      <c r="G6" s="183" t="s">
        <v>19</v>
      </c>
      <c r="H6" s="183"/>
      <c r="I6" s="183"/>
      <c r="J6" s="184" t="s">
        <v>20</v>
      </c>
      <c r="K6" s="185"/>
      <c r="L6" s="287">
        <f>SUM(L8:L12)</f>
        <v>3749000</v>
      </c>
      <c r="M6" s="288">
        <f>SUM(M8:M12)</f>
        <v>3749000</v>
      </c>
      <c r="N6" s="289">
        <f>SUM(N8:N12)</f>
        <v>0</v>
      </c>
      <c r="O6" s="289">
        <f t="shared" ref="O6:P6" si="2">SUM(O8:O12)</f>
        <v>0</v>
      </c>
      <c r="P6" s="289">
        <f t="shared" si="2"/>
        <v>0</v>
      </c>
      <c r="Q6" s="289">
        <f t="shared" ref="Q6" si="3">SUM(Q8:Q12)</f>
        <v>0</v>
      </c>
      <c r="R6" s="187">
        <f t="shared" ref="R6:R7" si="4">L6-M6-N6-O6-P6-Q6</f>
        <v>0</v>
      </c>
      <c r="S6" s="187">
        <f>SUM(S8:S12)</f>
        <v>300000</v>
      </c>
      <c r="T6" s="187"/>
      <c r="U6" s="187">
        <f>SUM(U8:U12)</f>
        <v>2778600</v>
      </c>
      <c r="V6" s="194"/>
      <c r="W6" s="187"/>
      <c r="X6" s="187">
        <f>SUM(X8:X12)</f>
        <v>0</v>
      </c>
      <c r="Y6" s="187">
        <f>SUM(Y8:Y12)</f>
        <v>0</v>
      </c>
      <c r="Z6" s="187"/>
      <c r="AA6" s="187"/>
      <c r="AB6" s="187">
        <f>SUM(AB8:AB12)</f>
        <v>2778600</v>
      </c>
      <c r="AC6" s="187" t="e">
        <f>X6+Y6+AB6-#REF!</f>
        <v>#REF!</v>
      </c>
      <c r="AD6" s="187">
        <f>SUM(AD8:AD12)</f>
        <v>0</v>
      </c>
      <c r="AE6" s="187">
        <f>SUM(AE8:AE12)</f>
        <v>0</v>
      </c>
      <c r="AF6" s="187">
        <f>SUM(AF8:AF12)</f>
        <v>0</v>
      </c>
      <c r="AG6" s="187">
        <f>SUM(AG8:AG12)</f>
        <v>0</v>
      </c>
      <c r="AH6" s="187">
        <f>SUM(AH8:AH12)</f>
        <v>0</v>
      </c>
      <c r="AI6" s="195"/>
      <c r="AJ6" s="187"/>
      <c r="AK6" s="185"/>
      <c r="AL6" s="196"/>
      <c r="AM6" s="197"/>
    </row>
    <row r="7" spans="1:40" s="198" customFormat="1">
      <c r="A7" s="193" t="s">
        <v>871</v>
      </c>
      <c r="B7" s="193"/>
      <c r="C7" s="193"/>
      <c r="D7" s="193"/>
      <c r="E7" s="182" t="s">
        <v>1225</v>
      </c>
      <c r="F7" s="182"/>
      <c r="G7" s="183" t="s">
        <v>21</v>
      </c>
      <c r="H7" s="183"/>
      <c r="I7" s="183"/>
      <c r="J7" s="190" t="s">
        <v>20</v>
      </c>
      <c r="K7" s="185"/>
      <c r="L7" s="290"/>
      <c r="M7" s="291"/>
      <c r="N7" s="295"/>
      <c r="O7" s="295"/>
      <c r="P7" s="295"/>
      <c r="Q7" s="295"/>
      <c r="R7" s="187">
        <f t="shared" si="4"/>
        <v>0</v>
      </c>
      <c r="S7" s="199"/>
      <c r="T7" s="199"/>
      <c r="U7" s="199"/>
      <c r="V7" s="200"/>
      <c r="W7" s="199"/>
      <c r="X7" s="199"/>
      <c r="Y7" s="199"/>
      <c r="Z7" s="199"/>
      <c r="AA7" s="199"/>
      <c r="AB7" s="199"/>
      <c r="AC7" s="199"/>
      <c r="AD7" s="199"/>
      <c r="AE7" s="199"/>
      <c r="AF7" s="199"/>
      <c r="AG7" s="199"/>
      <c r="AH7" s="199"/>
      <c r="AI7" s="195"/>
      <c r="AJ7" s="197"/>
      <c r="AK7" s="185"/>
      <c r="AL7" s="196"/>
      <c r="AM7" s="197"/>
    </row>
    <row r="8" spans="1:40" s="27" customFormat="1" ht="33" customHeight="1">
      <c r="A8" s="72" t="s">
        <v>871</v>
      </c>
      <c r="B8" s="72"/>
      <c r="C8" s="72"/>
      <c r="D8" s="72"/>
      <c r="E8" s="120" t="s">
        <v>1469</v>
      </c>
      <c r="F8" s="120"/>
      <c r="G8" s="154" t="s">
        <v>22</v>
      </c>
      <c r="H8" s="154" t="s">
        <v>15</v>
      </c>
      <c r="I8" s="154" t="s">
        <v>16</v>
      </c>
      <c r="J8" s="125" t="s">
        <v>23</v>
      </c>
      <c r="K8" s="155" t="s">
        <v>18</v>
      </c>
      <c r="L8" s="284">
        <f>SUM(M8:Q8)</f>
        <v>400000</v>
      </c>
      <c r="M8" s="285">
        <v>400000</v>
      </c>
      <c r="N8" s="296"/>
      <c r="O8" s="296"/>
      <c r="P8" s="296"/>
      <c r="Q8" s="296"/>
      <c r="R8" s="84"/>
      <c r="S8" s="62"/>
      <c r="T8" s="62"/>
      <c r="U8" s="62">
        <f>999600-300000</f>
        <v>699600</v>
      </c>
      <c r="V8" s="39">
        <v>3</v>
      </c>
      <c r="W8" s="70"/>
      <c r="X8" s="70"/>
      <c r="Y8" s="70"/>
      <c r="Z8" s="70"/>
      <c r="AA8" s="70">
        <v>300000</v>
      </c>
      <c r="AB8" s="70">
        <v>999600</v>
      </c>
      <c r="AC8" s="70"/>
      <c r="AD8" s="70"/>
      <c r="AE8" s="70"/>
      <c r="AF8" s="70"/>
      <c r="AG8" s="70"/>
      <c r="AH8" s="70"/>
      <c r="AI8" s="14"/>
      <c r="AJ8" s="78"/>
      <c r="AK8" s="156">
        <v>2021</v>
      </c>
      <c r="AL8" s="83"/>
      <c r="AM8" s="84"/>
    </row>
    <row r="9" spans="1:40" s="27" customFormat="1" ht="33">
      <c r="A9" s="72" t="s">
        <v>871</v>
      </c>
      <c r="B9" s="72"/>
      <c r="C9" s="72"/>
      <c r="D9" s="72"/>
      <c r="E9" s="120" t="s">
        <v>1469</v>
      </c>
      <c r="F9" s="120"/>
      <c r="G9" s="154" t="s">
        <v>24</v>
      </c>
      <c r="H9" s="154" t="s">
        <v>25</v>
      </c>
      <c r="I9" s="154" t="s">
        <v>26</v>
      </c>
      <c r="J9" s="125" t="s">
        <v>27</v>
      </c>
      <c r="K9" s="157" t="s">
        <v>28</v>
      </c>
      <c r="L9" s="284">
        <f>SUM(M9:Q9)</f>
        <v>49000</v>
      </c>
      <c r="M9" s="285">
        <v>49000</v>
      </c>
      <c r="N9" s="296"/>
      <c r="O9" s="296"/>
      <c r="P9" s="296"/>
      <c r="Q9" s="296"/>
      <c r="R9" s="84"/>
      <c r="S9" s="118">
        <v>300000</v>
      </c>
      <c r="T9" s="118"/>
      <c r="U9" s="118">
        <v>300000</v>
      </c>
      <c r="V9" s="39"/>
      <c r="W9" s="70"/>
      <c r="X9" s="70"/>
      <c r="Y9" s="70"/>
      <c r="Z9" s="70"/>
      <c r="AA9" s="70"/>
      <c r="AB9" s="70"/>
      <c r="AC9" s="70"/>
      <c r="AD9" s="70"/>
      <c r="AE9" s="70"/>
      <c r="AF9" s="70"/>
      <c r="AG9" s="70"/>
      <c r="AH9" s="70"/>
      <c r="AI9" s="14"/>
      <c r="AJ9" s="78"/>
      <c r="AK9" s="156">
        <v>2021</v>
      </c>
      <c r="AL9" s="83"/>
      <c r="AM9" s="84"/>
    </row>
    <row r="10" spans="1:40" s="66" customFormat="1" ht="33">
      <c r="A10" s="72" t="s">
        <v>871</v>
      </c>
      <c r="B10" s="72"/>
      <c r="C10" s="72"/>
      <c r="D10" s="72"/>
      <c r="E10" s="120" t="s">
        <v>1469</v>
      </c>
      <c r="F10" s="120"/>
      <c r="G10" s="154" t="s">
        <v>29</v>
      </c>
      <c r="H10" s="154" t="s">
        <v>30</v>
      </c>
      <c r="I10" s="154" t="s">
        <v>31</v>
      </c>
      <c r="J10" s="125" t="s">
        <v>32</v>
      </c>
      <c r="K10" s="157" t="s">
        <v>33</v>
      </c>
      <c r="L10" s="284">
        <f>SUM(M10:Q10)</f>
        <v>1000000</v>
      </c>
      <c r="M10" s="285">
        <v>1000000</v>
      </c>
      <c r="N10" s="296"/>
      <c r="O10" s="296"/>
      <c r="P10" s="296"/>
      <c r="Q10" s="296"/>
      <c r="R10" s="84"/>
      <c r="S10" s="118"/>
      <c r="T10" s="118"/>
      <c r="U10" s="118"/>
      <c r="V10" s="39"/>
      <c r="W10" s="70"/>
      <c r="X10" s="70"/>
      <c r="Y10" s="70"/>
      <c r="Z10" s="70"/>
      <c r="AA10" s="70"/>
      <c r="AB10" s="70"/>
      <c r="AC10" s="70"/>
      <c r="AD10" s="70"/>
      <c r="AE10" s="70"/>
      <c r="AF10" s="70"/>
      <c r="AG10" s="70"/>
      <c r="AH10" s="70"/>
      <c r="AI10" s="71"/>
      <c r="AJ10" s="78"/>
      <c r="AK10" s="156">
        <v>2021</v>
      </c>
      <c r="AL10" s="83"/>
      <c r="AM10" s="84"/>
    </row>
    <row r="11" spans="1:40" s="27" customFormat="1" ht="49.5">
      <c r="A11" s="72" t="s">
        <v>871</v>
      </c>
      <c r="B11" s="72"/>
      <c r="C11" s="72"/>
      <c r="D11" s="72"/>
      <c r="E11" s="120"/>
      <c r="F11" s="120"/>
      <c r="G11" s="154" t="s">
        <v>1241</v>
      </c>
      <c r="H11" s="154">
        <v>8230</v>
      </c>
      <c r="I11" s="154" t="s">
        <v>133</v>
      </c>
      <c r="J11" s="125" t="s">
        <v>134</v>
      </c>
      <c r="K11" s="157" t="s">
        <v>1364</v>
      </c>
      <c r="L11" s="284">
        <f>SUM(M11:Q11)</f>
        <v>2000000</v>
      </c>
      <c r="M11" s="285">
        <v>2000000</v>
      </c>
      <c r="N11" s="296"/>
      <c r="O11" s="296"/>
      <c r="P11" s="296"/>
      <c r="Q11" s="296"/>
      <c r="R11" s="84"/>
      <c r="S11" s="70"/>
      <c r="T11" s="70"/>
      <c r="U11" s="70">
        <v>49000</v>
      </c>
      <c r="V11" s="39">
        <v>3</v>
      </c>
      <c r="W11" s="70"/>
      <c r="X11" s="70"/>
      <c r="Y11" s="70"/>
      <c r="Z11" s="70"/>
      <c r="AA11" s="70"/>
      <c r="AB11" s="70">
        <v>49000</v>
      </c>
      <c r="AC11" s="70"/>
      <c r="AD11" s="70"/>
      <c r="AE11" s="70"/>
      <c r="AF11" s="70"/>
      <c r="AG11" s="70"/>
      <c r="AH11" s="70"/>
      <c r="AI11" s="14"/>
      <c r="AJ11" s="78"/>
      <c r="AK11" s="156">
        <v>2021</v>
      </c>
      <c r="AL11" s="83"/>
      <c r="AM11" s="84"/>
    </row>
    <row r="12" spans="1:40" s="27" customFormat="1" ht="82.5">
      <c r="A12" s="72" t="s">
        <v>871</v>
      </c>
      <c r="B12" s="72"/>
      <c r="C12" s="72"/>
      <c r="D12" s="72"/>
      <c r="E12" s="120" t="s">
        <v>1469</v>
      </c>
      <c r="F12" s="120"/>
      <c r="G12" s="154" t="s">
        <v>1241</v>
      </c>
      <c r="H12" s="154">
        <v>8230</v>
      </c>
      <c r="I12" s="154" t="s">
        <v>133</v>
      </c>
      <c r="J12" s="125" t="s">
        <v>134</v>
      </c>
      <c r="K12" s="157" t="s">
        <v>1243</v>
      </c>
      <c r="L12" s="284">
        <f>SUM(M12:Q12)</f>
        <v>300000</v>
      </c>
      <c r="M12" s="285">
        <v>300000</v>
      </c>
      <c r="N12" s="296"/>
      <c r="O12" s="296"/>
      <c r="P12" s="296"/>
      <c r="Q12" s="296"/>
      <c r="R12" s="84"/>
      <c r="S12" s="70"/>
      <c r="T12" s="70"/>
      <c r="U12" s="70">
        <v>1730000</v>
      </c>
      <c r="V12" s="39">
        <v>3</v>
      </c>
      <c r="W12" s="70"/>
      <c r="X12" s="70"/>
      <c r="Y12" s="70"/>
      <c r="Z12" s="70"/>
      <c r="AA12" s="70"/>
      <c r="AB12" s="70">
        <v>1730000</v>
      </c>
      <c r="AC12" s="70"/>
      <c r="AD12" s="70"/>
      <c r="AE12" s="70"/>
      <c r="AF12" s="70"/>
      <c r="AG12" s="70"/>
      <c r="AH12" s="70"/>
      <c r="AI12" s="14"/>
      <c r="AJ12" s="78">
        <v>100</v>
      </c>
      <c r="AK12" s="156">
        <v>2021</v>
      </c>
      <c r="AL12" s="83"/>
      <c r="AM12" s="84"/>
    </row>
    <row r="13" spans="1:40" s="198" customFormat="1">
      <c r="A13" s="193" t="s">
        <v>1116</v>
      </c>
      <c r="B13" s="181" t="s">
        <v>193</v>
      </c>
      <c r="C13" s="181"/>
      <c r="D13" s="181"/>
      <c r="E13" s="182" t="s">
        <v>1225</v>
      </c>
      <c r="F13" s="182"/>
      <c r="G13" s="183" t="s">
        <v>19</v>
      </c>
      <c r="H13" s="183"/>
      <c r="I13" s="183"/>
      <c r="J13" s="184" t="s">
        <v>34</v>
      </c>
      <c r="K13" s="185"/>
      <c r="L13" s="287">
        <f>SUM(L15:L16)</f>
        <v>18855304</v>
      </c>
      <c r="M13" s="288">
        <f>SUM(M15:M16)</f>
        <v>353000</v>
      </c>
      <c r="N13" s="289">
        <f>SUM(N15:N16)</f>
        <v>15339504</v>
      </c>
      <c r="O13" s="289">
        <f t="shared" ref="O13:P13" si="5">SUM(O15:O16)</f>
        <v>0</v>
      </c>
      <c r="P13" s="289">
        <f t="shared" si="5"/>
        <v>0</v>
      </c>
      <c r="Q13" s="289">
        <f>SUM(Q15:Q16)</f>
        <v>3162800</v>
      </c>
      <c r="R13" s="187">
        <f t="shared" ref="R13:R14" si="6">L13-M13-N13-O13-P13-Q13</f>
        <v>0</v>
      </c>
      <c r="S13" s="187"/>
      <c r="T13" s="187"/>
      <c r="U13" s="187">
        <f>SUM(U15:U16)</f>
        <v>21137762</v>
      </c>
      <c r="V13" s="194"/>
      <c r="W13" s="187"/>
      <c r="X13" s="187">
        <f>SUM(X15:X16)</f>
        <v>0</v>
      </c>
      <c r="Y13" s="187">
        <f>SUM(Y15:Y16)</f>
        <v>0</v>
      </c>
      <c r="Z13" s="187"/>
      <c r="AA13" s="187"/>
      <c r="AB13" s="187">
        <f>SUM(AB15:AB16)</f>
        <v>21137762</v>
      </c>
      <c r="AC13" s="187">
        <f>X13+Y13+AB13-N13</f>
        <v>5798258</v>
      </c>
      <c r="AD13" s="187">
        <f>SUM(AD15:AD16)</f>
        <v>0</v>
      </c>
      <c r="AE13" s="187">
        <f>SUM(AE15:AE16)</f>
        <v>0</v>
      </c>
      <c r="AF13" s="187">
        <f>SUM(AF15:AF16)</f>
        <v>0</v>
      </c>
      <c r="AG13" s="187">
        <f>SUM(AG15:AG16)</f>
        <v>0</v>
      </c>
      <c r="AH13" s="187">
        <f>SUM(AH15:AH16)</f>
        <v>6906900</v>
      </c>
      <c r="AI13" s="195"/>
      <c r="AJ13" s="187"/>
      <c r="AK13" s="185"/>
      <c r="AL13" s="196"/>
      <c r="AM13" s="197"/>
    </row>
    <row r="14" spans="1:40" s="198" customFormat="1">
      <c r="A14" s="193" t="s">
        <v>1116</v>
      </c>
      <c r="B14" s="193"/>
      <c r="C14" s="193"/>
      <c r="D14" s="193"/>
      <c r="E14" s="182" t="s">
        <v>1225</v>
      </c>
      <c r="F14" s="182"/>
      <c r="G14" s="183" t="s">
        <v>21</v>
      </c>
      <c r="H14" s="183"/>
      <c r="I14" s="183"/>
      <c r="J14" s="190" t="s">
        <v>34</v>
      </c>
      <c r="K14" s="201"/>
      <c r="L14" s="290"/>
      <c r="M14" s="291"/>
      <c r="N14" s="297"/>
      <c r="O14" s="297"/>
      <c r="P14" s="297"/>
      <c r="Q14" s="297"/>
      <c r="R14" s="187">
        <f t="shared" si="6"/>
        <v>0</v>
      </c>
      <c r="S14" s="199"/>
      <c r="T14" s="199"/>
      <c r="U14" s="199"/>
      <c r="V14" s="200"/>
      <c r="W14" s="199"/>
      <c r="X14" s="199"/>
      <c r="Y14" s="199"/>
      <c r="Z14" s="199"/>
      <c r="AA14" s="199"/>
      <c r="AB14" s="199"/>
      <c r="AC14" s="199"/>
      <c r="AD14" s="199"/>
      <c r="AE14" s="199"/>
      <c r="AF14" s="199"/>
      <c r="AG14" s="199"/>
      <c r="AH14" s="199"/>
      <c r="AI14" s="195"/>
      <c r="AJ14" s="199"/>
      <c r="AK14" s="185"/>
      <c r="AL14" s="196"/>
      <c r="AM14" s="197"/>
    </row>
    <row r="15" spans="1:40" s="27" customFormat="1" ht="33">
      <c r="A15" s="72" t="s">
        <v>1116</v>
      </c>
      <c r="B15" s="72"/>
      <c r="C15" s="72"/>
      <c r="D15" s="72"/>
      <c r="E15" s="120" t="s">
        <v>1469</v>
      </c>
      <c r="F15" s="120"/>
      <c r="G15" s="80" t="s">
        <v>22</v>
      </c>
      <c r="H15" s="80" t="s">
        <v>15</v>
      </c>
      <c r="I15" s="80" t="s">
        <v>16</v>
      </c>
      <c r="J15" s="81" t="s">
        <v>35</v>
      </c>
      <c r="K15" s="82" t="s">
        <v>18</v>
      </c>
      <c r="L15" s="298">
        <f t="shared" ref="L15:L29" si="7">SUM(M15:Q15)</f>
        <v>353000</v>
      </c>
      <c r="M15" s="299">
        <v>353000</v>
      </c>
      <c r="N15" s="300"/>
      <c r="O15" s="301"/>
      <c r="P15" s="302"/>
      <c r="Q15" s="302"/>
      <c r="R15" s="67"/>
      <c r="S15" s="67"/>
      <c r="T15" s="67"/>
      <c r="U15" s="67">
        <v>353000</v>
      </c>
      <c r="V15" s="69">
        <v>3</v>
      </c>
      <c r="W15" s="67"/>
      <c r="X15" s="67"/>
      <c r="Y15" s="67"/>
      <c r="Z15" s="67"/>
      <c r="AA15" s="67"/>
      <c r="AB15" s="67">
        <v>353000</v>
      </c>
      <c r="AC15" s="67"/>
      <c r="AD15" s="67"/>
      <c r="AE15" s="67"/>
      <c r="AF15" s="67"/>
      <c r="AG15" s="67"/>
      <c r="AH15" s="67"/>
      <c r="AI15" s="71"/>
      <c r="AJ15" s="78"/>
      <c r="AK15" s="78">
        <v>2021</v>
      </c>
      <c r="AL15" s="83"/>
      <c r="AM15" s="84"/>
    </row>
    <row r="16" spans="1:40" s="27" customFormat="1">
      <c r="A16" s="72" t="s">
        <v>1116</v>
      </c>
      <c r="B16" s="34"/>
      <c r="C16" s="72"/>
      <c r="D16" s="72"/>
      <c r="E16" s="120" t="s">
        <v>1469</v>
      </c>
      <c r="F16" s="120"/>
      <c r="G16" s="80" t="s">
        <v>29</v>
      </c>
      <c r="H16" s="80">
        <v>7670</v>
      </c>
      <c r="I16" s="80" t="s">
        <v>31</v>
      </c>
      <c r="J16" s="81" t="s">
        <v>32</v>
      </c>
      <c r="K16" s="86" t="s">
        <v>36</v>
      </c>
      <c r="L16" s="293">
        <f t="shared" si="7"/>
        <v>18502304</v>
      </c>
      <c r="M16" s="294"/>
      <c r="N16" s="302">
        <f>SUM(N17:N29)</f>
        <v>15339504</v>
      </c>
      <c r="O16" s="302">
        <f>SUM(O17:O29)</f>
        <v>0</v>
      </c>
      <c r="P16" s="302">
        <f t="shared" ref="P16:Q16" si="8">SUM(P17:P29)</f>
        <v>0</v>
      </c>
      <c r="Q16" s="302">
        <f t="shared" si="8"/>
        <v>3162800</v>
      </c>
      <c r="R16" s="41"/>
      <c r="S16" s="41">
        <f>N16-U16</f>
        <v>-5445258</v>
      </c>
      <c r="T16" s="41">
        <v>1461642</v>
      </c>
      <c r="U16" s="41">
        <f>6906900+20377862-1500000-5000000</f>
        <v>20784762</v>
      </c>
      <c r="V16" s="69">
        <v>3</v>
      </c>
      <c r="W16" s="67"/>
      <c r="X16" s="67"/>
      <c r="Y16" s="67"/>
      <c r="Z16" s="67"/>
      <c r="AA16" s="67">
        <v>5000000</v>
      </c>
      <c r="AB16" s="41">
        <f>6906900+20377862-1500000-5000000</f>
        <v>20784762</v>
      </c>
      <c r="AC16" s="67"/>
      <c r="AD16" s="67"/>
      <c r="AE16" s="67"/>
      <c r="AF16" s="67"/>
      <c r="AG16" s="67"/>
      <c r="AH16" s="67">
        <v>6906900</v>
      </c>
      <c r="AI16" s="14"/>
      <c r="AJ16" s="68">
        <f>SUM(AJ17:AJ29)</f>
        <v>0</v>
      </c>
      <c r="AK16" s="78">
        <v>2021</v>
      </c>
      <c r="AL16" s="83"/>
      <c r="AM16" s="85"/>
    </row>
    <row r="17" spans="1:39" s="66" customFormat="1">
      <c r="A17" s="72" t="s">
        <v>1356</v>
      </c>
      <c r="B17" s="72"/>
      <c r="C17" s="72"/>
      <c r="D17" s="72"/>
      <c r="E17" s="120"/>
      <c r="F17" s="120" t="s">
        <v>8</v>
      </c>
      <c r="G17" s="80"/>
      <c r="H17" s="80"/>
      <c r="I17" s="80"/>
      <c r="J17" s="81"/>
      <c r="K17" s="147" t="s">
        <v>1454</v>
      </c>
      <c r="L17" s="303">
        <f t="shared" si="7"/>
        <v>4624442</v>
      </c>
      <c r="M17" s="303"/>
      <c r="N17" s="303">
        <v>1461642</v>
      </c>
      <c r="O17" s="286"/>
      <c r="P17" s="304"/>
      <c r="Q17" s="305">
        <v>3162800</v>
      </c>
      <c r="R17" s="150"/>
      <c r="S17" s="41"/>
      <c r="T17" s="41"/>
      <c r="U17" s="41"/>
      <c r="V17" s="69"/>
      <c r="W17" s="67"/>
      <c r="X17" s="67"/>
      <c r="Y17" s="67"/>
      <c r="Z17" s="67"/>
      <c r="AA17" s="67"/>
      <c r="AB17" s="41"/>
      <c r="AC17" s="67"/>
      <c r="AD17" s="67"/>
      <c r="AE17" s="67"/>
      <c r="AF17" s="67"/>
      <c r="AG17" s="67"/>
      <c r="AH17" s="67"/>
      <c r="AI17" s="71"/>
      <c r="AJ17" s="78"/>
      <c r="AK17" s="78"/>
      <c r="AL17" s="83"/>
      <c r="AM17" s="85"/>
    </row>
    <row r="18" spans="1:39" s="66" customFormat="1" ht="60.75">
      <c r="A18" s="72" t="s">
        <v>1356</v>
      </c>
      <c r="B18" s="72"/>
      <c r="C18" s="72"/>
      <c r="D18" s="72"/>
      <c r="E18" s="120"/>
      <c r="F18" s="120"/>
      <c r="G18" s="80"/>
      <c r="H18" s="80"/>
      <c r="I18" s="80"/>
      <c r="J18" s="81"/>
      <c r="K18" s="148" t="s">
        <v>1344</v>
      </c>
      <c r="L18" s="303">
        <f t="shared" si="7"/>
        <v>704000</v>
      </c>
      <c r="M18" s="303"/>
      <c r="N18" s="303">
        <v>704000</v>
      </c>
      <c r="O18" s="286"/>
      <c r="P18" s="304"/>
      <c r="Q18" s="306"/>
      <c r="R18" s="151"/>
      <c r="S18" s="41"/>
      <c r="T18" s="41"/>
      <c r="U18" s="41"/>
      <c r="V18" s="69"/>
      <c r="W18" s="67"/>
      <c r="X18" s="67"/>
      <c r="Y18" s="67"/>
      <c r="Z18" s="67"/>
      <c r="AA18" s="67"/>
      <c r="AB18" s="41"/>
      <c r="AC18" s="67"/>
      <c r="AD18" s="67"/>
      <c r="AE18" s="67"/>
      <c r="AF18" s="67"/>
      <c r="AG18" s="67"/>
      <c r="AH18" s="67"/>
      <c r="AI18" s="71"/>
      <c r="AJ18" s="78"/>
      <c r="AK18" s="78"/>
      <c r="AL18" s="83"/>
      <c r="AM18" s="85"/>
    </row>
    <row r="19" spans="1:39" s="66" customFormat="1">
      <c r="A19" s="72" t="s">
        <v>1356</v>
      </c>
      <c r="B19" s="72"/>
      <c r="C19" s="72"/>
      <c r="D19" s="72"/>
      <c r="E19" s="120"/>
      <c r="F19" s="120"/>
      <c r="G19" s="80"/>
      <c r="H19" s="80"/>
      <c r="I19" s="80"/>
      <c r="J19" s="81"/>
      <c r="K19" s="148" t="s">
        <v>1345</v>
      </c>
      <c r="L19" s="303">
        <f t="shared" si="7"/>
        <v>1500000</v>
      </c>
      <c r="M19" s="303"/>
      <c r="N19" s="303">
        <v>1500000</v>
      </c>
      <c r="O19" s="286"/>
      <c r="P19" s="304"/>
      <c r="Q19" s="306"/>
      <c r="R19" s="151"/>
      <c r="S19" s="41"/>
      <c r="T19" s="41"/>
      <c r="U19" s="41"/>
      <c r="V19" s="69"/>
      <c r="W19" s="67"/>
      <c r="X19" s="67"/>
      <c r="Y19" s="67"/>
      <c r="Z19" s="67"/>
      <c r="AA19" s="67"/>
      <c r="AB19" s="41"/>
      <c r="AC19" s="67"/>
      <c r="AD19" s="67"/>
      <c r="AE19" s="67"/>
      <c r="AF19" s="67"/>
      <c r="AG19" s="67"/>
      <c r="AH19" s="67"/>
      <c r="AI19" s="71"/>
      <c r="AJ19" s="78"/>
      <c r="AK19" s="78"/>
      <c r="AL19" s="83"/>
      <c r="AM19" s="85"/>
    </row>
    <row r="20" spans="1:39" s="66" customFormat="1">
      <c r="A20" s="72" t="s">
        <v>1356</v>
      </c>
      <c r="B20" s="72"/>
      <c r="C20" s="72"/>
      <c r="D20" s="72"/>
      <c r="E20" s="120"/>
      <c r="F20" s="120"/>
      <c r="G20" s="80"/>
      <c r="H20" s="80"/>
      <c r="I20" s="80"/>
      <c r="J20" s="81"/>
      <c r="K20" s="148" t="s">
        <v>1346</v>
      </c>
      <c r="L20" s="303">
        <f t="shared" si="7"/>
        <v>352000</v>
      </c>
      <c r="M20" s="303"/>
      <c r="N20" s="303">
        <v>352000</v>
      </c>
      <c r="O20" s="286"/>
      <c r="P20" s="304"/>
      <c r="Q20" s="306"/>
      <c r="R20" s="151"/>
      <c r="S20" s="41"/>
      <c r="T20" s="41"/>
      <c r="U20" s="41"/>
      <c r="V20" s="69"/>
      <c r="W20" s="67"/>
      <c r="X20" s="67"/>
      <c r="Y20" s="67"/>
      <c r="Z20" s="67"/>
      <c r="AA20" s="67"/>
      <c r="AB20" s="41"/>
      <c r="AC20" s="67"/>
      <c r="AD20" s="67"/>
      <c r="AE20" s="67"/>
      <c r="AF20" s="67"/>
      <c r="AG20" s="67"/>
      <c r="AH20" s="67"/>
      <c r="AI20" s="71"/>
      <c r="AJ20" s="78"/>
      <c r="AK20" s="78"/>
      <c r="AL20" s="83"/>
      <c r="AM20" s="85"/>
    </row>
    <row r="21" spans="1:39" s="66" customFormat="1" ht="30.75">
      <c r="A21" s="72" t="s">
        <v>1356</v>
      </c>
      <c r="B21" s="72"/>
      <c r="C21" s="72"/>
      <c r="D21" s="72"/>
      <c r="E21" s="120"/>
      <c r="F21" s="120"/>
      <c r="G21" s="80"/>
      <c r="H21" s="80"/>
      <c r="I21" s="80"/>
      <c r="J21" s="81"/>
      <c r="K21" s="148" t="s">
        <v>1347</v>
      </c>
      <c r="L21" s="303">
        <f t="shared" si="7"/>
        <v>1000000</v>
      </c>
      <c r="M21" s="303"/>
      <c r="N21" s="303">
        <v>1000000</v>
      </c>
      <c r="O21" s="286"/>
      <c r="P21" s="304"/>
      <c r="Q21" s="306"/>
      <c r="R21" s="151"/>
      <c r="S21" s="41"/>
      <c r="T21" s="41"/>
      <c r="U21" s="41"/>
      <c r="V21" s="69"/>
      <c r="W21" s="67"/>
      <c r="X21" s="67"/>
      <c r="Y21" s="67"/>
      <c r="Z21" s="67"/>
      <c r="AA21" s="67"/>
      <c r="AB21" s="41"/>
      <c r="AC21" s="67"/>
      <c r="AD21" s="67"/>
      <c r="AE21" s="67"/>
      <c r="AF21" s="67"/>
      <c r="AG21" s="67"/>
      <c r="AH21" s="67"/>
      <c r="AI21" s="71"/>
      <c r="AJ21" s="78"/>
      <c r="AK21" s="78"/>
      <c r="AL21" s="83"/>
      <c r="AM21" s="85"/>
    </row>
    <row r="22" spans="1:39" s="66" customFormat="1">
      <c r="A22" s="72" t="s">
        <v>1356</v>
      </c>
      <c r="B22" s="72"/>
      <c r="C22" s="72"/>
      <c r="D22" s="72"/>
      <c r="E22" s="120"/>
      <c r="F22" s="120"/>
      <c r="G22" s="80"/>
      <c r="H22" s="80"/>
      <c r="I22" s="80"/>
      <c r="J22" s="81"/>
      <c r="K22" s="149" t="s">
        <v>1348</v>
      </c>
      <c r="L22" s="303">
        <f t="shared" si="7"/>
        <v>0</v>
      </c>
      <c r="M22" s="303"/>
      <c r="N22" s="303"/>
      <c r="O22" s="286"/>
      <c r="P22" s="286"/>
      <c r="Q22" s="306"/>
      <c r="R22" s="151"/>
      <c r="S22" s="41"/>
      <c r="T22" s="41"/>
      <c r="U22" s="41"/>
      <c r="V22" s="69"/>
      <c r="W22" s="67"/>
      <c r="X22" s="67"/>
      <c r="Y22" s="67"/>
      <c r="Z22" s="67"/>
      <c r="AA22" s="67"/>
      <c r="AB22" s="41"/>
      <c r="AC22" s="67"/>
      <c r="AD22" s="67"/>
      <c r="AE22" s="67"/>
      <c r="AF22" s="67"/>
      <c r="AG22" s="67"/>
      <c r="AH22" s="67"/>
      <c r="AI22" s="71"/>
      <c r="AJ22" s="78"/>
      <c r="AK22" s="78"/>
      <c r="AL22" s="83"/>
      <c r="AM22" s="85"/>
    </row>
    <row r="23" spans="1:39" s="66" customFormat="1">
      <c r="A23" s="72" t="s">
        <v>1356</v>
      </c>
      <c r="B23" s="72"/>
      <c r="C23" s="72"/>
      <c r="D23" s="72"/>
      <c r="E23" s="120"/>
      <c r="F23" s="120"/>
      <c r="G23" s="80"/>
      <c r="H23" s="80"/>
      <c r="I23" s="80"/>
      <c r="J23" s="81"/>
      <c r="K23" s="148" t="s">
        <v>1349</v>
      </c>
      <c r="L23" s="303">
        <f t="shared" si="7"/>
        <v>0</v>
      </c>
      <c r="M23" s="303"/>
      <c r="N23" s="303"/>
      <c r="O23" s="286"/>
      <c r="P23" s="286"/>
      <c r="Q23" s="306"/>
      <c r="R23" s="151"/>
      <c r="S23" s="41"/>
      <c r="T23" s="41"/>
      <c r="U23" s="41"/>
      <c r="V23" s="69"/>
      <c r="W23" s="67"/>
      <c r="X23" s="67"/>
      <c r="Y23" s="67"/>
      <c r="Z23" s="67"/>
      <c r="AA23" s="67"/>
      <c r="AB23" s="41"/>
      <c r="AC23" s="67"/>
      <c r="AD23" s="67"/>
      <c r="AE23" s="67"/>
      <c r="AF23" s="67"/>
      <c r="AG23" s="67"/>
      <c r="AH23" s="67"/>
      <c r="AI23" s="71"/>
      <c r="AJ23" s="78"/>
      <c r="AK23" s="78"/>
      <c r="AL23" s="83"/>
      <c r="AM23" s="85"/>
    </row>
    <row r="24" spans="1:39" s="66" customFormat="1">
      <c r="A24" s="72" t="s">
        <v>1356</v>
      </c>
      <c r="B24" s="72"/>
      <c r="C24" s="72"/>
      <c r="D24" s="72"/>
      <c r="E24" s="120"/>
      <c r="F24" s="120"/>
      <c r="G24" s="80"/>
      <c r="H24" s="80"/>
      <c r="I24" s="80"/>
      <c r="J24" s="81"/>
      <c r="K24" s="148" t="s">
        <v>1350</v>
      </c>
      <c r="L24" s="303">
        <f t="shared" si="7"/>
        <v>390000</v>
      </c>
      <c r="M24" s="303"/>
      <c r="N24" s="303">
        <v>390000</v>
      </c>
      <c r="O24" s="286"/>
      <c r="P24" s="286"/>
      <c r="Q24" s="306"/>
      <c r="R24" s="151"/>
      <c r="S24" s="41"/>
      <c r="T24" s="41"/>
      <c r="U24" s="41"/>
      <c r="V24" s="69"/>
      <c r="W24" s="67"/>
      <c r="X24" s="67"/>
      <c r="Y24" s="67"/>
      <c r="Z24" s="67"/>
      <c r="AA24" s="67"/>
      <c r="AB24" s="41"/>
      <c r="AC24" s="67"/>
      <c r="AD24" s="67"/>
      <c r="AE24" s="67"/>
      <c r="AF24" s="67"/>
      <c r="AG24" s="67"/>
      <c r="AH24" s="67"/>
      <c r="AI24" s="71"/>
      <c r="AJ24" s="78"/>
      <c r="AK24" s="78"/>
      <c r="AL24" s="83"/>
      <c r="AM24" s="85"/>
    </row>
    <row r="25" spans="1:39" s="66" customFormat="1">
      <c r="A25" s="72" t="s">
        <v>1356</v>
      </c>
      <c r="B25" s="72"/>
      <c r="C25" s="72"/>
      <c r="D25" s="72"/>
      <c r="E25" s="120"/>
      <c r="F25" s="120"/>
      <c r="G25" s="80"/>
      <c r="H25" s="80"/>
      <c r="I25" s="80"/>
      <c r="J25" s="81"/>
      <c r="K25" s="148" t="s">
        <v>1351</v>
      </c>
      <c r="L25" s="303">
        <f t="shared" si="7"/>
        <v>1889000</v>
      </c>
      <c r="M25" s="303"/>
      <c r="N25" s="303">
        <v>1889000</v>
      </c>
      <c r="O25" s="286"/>
      <c r="P25" s="286"/>
      <c r="Q25" s="306"/>
      <c r="R25" s="151"/>
      <c r="S25" s="41"/>
      <c r="T25" s="41"/>
      <c r="U25" s="41"/>
      <c r="V25" s="69"/>
      <c r="W25" s="67"/>
      <c r="X25" s="67"/>
      <c r="Y25" s="67"/>
      <c r="Z25" s="67"/>
      <c r="AA25" s="67"/>
      <c r="AB25" s="41"/>
      <c r="AC25" s="67"/>
      <c r="AD25" s="67"/>
      <c r="AE25" s="67"/>
      <c r="AF25" s="67"/>
      <c r="AG25" s="67"/>
      <c r="AH25" s="67"/>
      <c r="AI25" s="71"/>
      <c r="AJ25" s="78"/>
      <c r="AK25" s="78"/>
      <c r="AL25" s="83"/>
      <c r="AM25" s="85"/>
    </row>
    <row r="26" spans="1:39" s="66" customFormat="1">
      <c r="A26" s="72" t="s">
        <v>1356</v>
      </c>
      <c r="B26" s="72"/>
      <c r="C26" s="72"/>
      <c r="D26" s="72"/>
      <c r="E26" s="120"/>
      <c r="F26" s="120"/>
      <c r="G26" s="80"/>
      <c r="H26" s="80"/>
      <c r="I26" s="80"/>
      <c r="J26" s="81"/>
      <c r="K26" s="148" t="s">
        <v>1352</v>
      </c>
      <c r="L26" s="303">
        <f t="shared" si="7"/>
        <v>3299899</v>
      </c>
      <c r="M26" s="303"/>
      <c r="N26" s="303">
        <v>3299899</v>
      </c>
      <c r="O26" s="286"/>
      <c r="P26" s="286"/>
      <c r="Q26" s="306"/>
      <c r="R26" s="151"/>
      <c r="S26" s="41"/>
      <c r="T26" s="41"/>
      <c r="U26" s="41"/>
      <c r="V26" s="69"/>
      <c r="W26" s="67"/>
      <c r="X26" s="67"/>
      <c r="Y26" s="67"/>
      <c r="Z26" s="67"/>
      <c r="AA26" s="67"/>
      <c r="AB26" s="41"/>
      <c r="AC26" s="67"/>
      <c r="AD26" s="67"/>
      <c r="AE26" s="67"/>
      <c r="AF26" s="67"/>
      <c r="AG26" s="67"/>
      <c r="AH26" s="67"/>
      <c r="AI26" s="71"/>
      <c r="AJ26" s="78"/>
      <c r="AK26" s="78"/>
      <c r="AL26" s="83"/>
      <c r="AM26" s="85"/>
    </row>
    <row r="27" spans="1:39" s="66" customFormat="1">
      <c r="A27" s="72" t="s">
        <v>1356</v>
      </c>
      <c r="B27" s="72"/>
      <c r="C27" s="72"/>
      <c r="D27" s="72"/>
      <c r="E27" s="120"/>
      <c r="F27" s="120"/>
      <c r="G27" s="80"/>
      <c r="H27" s="80"/>
      <c r="I27" s="80"/>
      <c r="J27" s="81"/>
      <c r="K27" s="148" t="s">
        <v>1353</v>
      </c>
      <c r="L27" s="303">
        <f t="shared" si="7"/>
        <v>1219000</v>
      </c>
      <c r="M27" s="303"/>
      <c r="N27" s="303">
        <v>1219000</v>
      </c>
      <c r="O27" s="286"/>
      <c r="P27" s="286"/>
      <c r="Q27" s="306"/>
      <c r="R27" s="151"/>
      <c r="S27" s="41"/>
      <c r="T27" s="41"/>
      <c r="U27" s="41"/>
      <c r="V27" s="69"/>
      <c r="W27" s="67"/>
      <c r="X27" s="67"/>
      <c r="Y27" s="67"/>
      <c r="Z27" s="67"/>
      <c r="AA27" s="67"/>
      <c r="AB27" s="41"/>
      <c r="AC27" s="67"/>
      <c r="AD27" s="67"/>
      <c r="AE27" s="67"/>
      <c r="AF27" s="67"/>
      <c r="AG27" s="67"/>
      <c r="AH27" s="67"/>
      <c r="AI27" s="71"/>
      <c r="AJ27" s="78"/>
      <c r="AK27" s="78"/>
      <c r="AL27" s="83"/>
      <c r="AM27" s="85"/>
    </row>
    <row r="28" spans="1:39" s="66" customFormat="1" ht="19.5">
      <c r="A28" s="72" t="s">
        <v>1356</v>
      </c>
      <c r="B28" s="72"/>
      <c r="C28" s="72"/>
      <c r="D28" s="72"/>
      <c r="E28" s="120"/>
      <c r="F28" s="120"/>
      <c r="G28" s="248"/>
      <c r="H28" s="80"/>
      <c r="I28" s="80"/>
      <c r="J28" s="81"/>
      <c r="K28" s="148" t="s">
        <v>1354</v>
      </c>
      <c r="L28" s="303">
        <f t="shared" si="7"/>
        <v>1572000</v>
      </c>
      <c r="M28" s="303"/>
      <c r="N28" s="303">
        <v>1572000</v>
      </c>
      <c r="O28" s="286"/>
      <c r="P28" s="286"/>
      <c r="Q28" s="306"/>
      <c r="R28" s="151"/>
      <c r="S28" s="41"/>
      <c r="T28" s="41"/>
      <c r="U28" s="41"/>
      <c r="V28" s="69"/>
      <c r="W28" s="67"/>
      <c r="X28" s="67"/>
      <c r="Y28" s="67"/>
      <c r="Z28" s="67"/>
      <c r="AA28" s="67"/>
      <c r="AB28" s="41"/>
      <c r="AC28" s="67"/>
      <c r="AD28" s="67"/>
      <c r="AE28" s="67"/>
      <c r="AF28" s="67"/>
      <c r="AG28" s="67"/>
      <c r="AH28" s="67"/>
      <c r="AI28" s="71"/>
      <c r="AJ28" s="78"/>
      <c r="AK28" s="78"/>
      <c r="AL28" s="83"/>
      <c r="AM28" s="85"/>
    </row>
    <row r="29" spans="1:39" s="66" customFormat="1">
      <c r="A29" s="72" t="s">
        <v>1356</v>
      </c>
      <c r="B29" s="72"/>
      <c r="C29" s="72"/>
      <c r="D29" s="72"/>
      <c r="E29" s="120"/>
      <c r="F29" s="120"/>
      <c r="G29" s="80"/>
      <c r="H29" s="80"/>
      <c r="I29" s="80"/>
      <c r="J29" s="81"/>
      <c r="K29" s="148" t="s">
        <v>1355</v>
      </c>
      <c r="L29" s="303">
        <f t="shared" si="7"/>
        <v>1951963</v>
      </c>
      <c r="M29" s="303"/>
      <c r="N29" s="303">
        <v>1951963</v>
      </c>
      <c r="O29" s="286"/>
      <c r="P29" s="286"/>
      <c r="Q29" s="306"/>
      <c r="R29" s="151"/>
      <c r="S29" s="41"/>
      <c r="T29" s="41"/>
      <c r="U29" s="41"/>
      <c r="V29" s="69"/>
      <c r="W29" s="67"/>
      <c r="X29" s="67"/>
      <c r="Y29" s="67"/>
      <c r="Z29" s="67"/>
      <c r="AA29" s="67"/>
      <c r="AB29" s="41"/>
      <c r="AC29" s="67"/>
      <c r="AD29" s="67"/>
      <c r="AE29" s="67"/>
      <c r="AF29" s="67"/>
      <c r="AG29" s="67"/>
      <c r="AH29" s="67"/>
      <c r="AI29" s="71"/>
      <c r="AJ29" s="78"/>
      <c r="AK29" s="78"/>
      <c r="AL29" s="83"/>
      <c r="AM29" s="85"/>
    </row>
    <row r="30" spans="1:39" s="198" customFormat="1">
      <c r="A30" s="193" t="s">
        <v>872</v>
      </c>
      <c r="B30" s="181" t="s">
        <v>193</v>
      </c>
      <c r="C30" s="181"/>
      <c r="D30" s="181"/>
      <c r="E30" s="182" t="s">
        <v>1225</v>
      </c>
      <c r="F30" s="182"/>
      <c r="G30" s="183" t="s">
        <v>19</v>
      </c>
      <c r="H30" s="183"/>
      <c r="I30" s="183"/>
      <c r="J30" s="184" t="s">
        <v>37</v>
      </c>
      <c r="K30" s="202"/>
      <c r="L30" s="287">
        <f t="shared" ref="L30:Q30" si="9">SUM(L32:L34)</f>
        <v>611370</v>
      </c>
      <c r="M30" s="288">
        <f t="shared" si="9"/>
        <v>611370</v>
      </c>
      <c r="N30" s="289">
        <f t="shared" si="9"/>
        <v>0</v>
      </c>
      <c r="O30" s="289">
        <f t="shared" si="9"/>
        <v>0</v>
      </c>
      <c r="P30" s="289">
        <f t="shared" si="9"/>
        <v>0</v>
      </c>
      <c r="Q30" s="289">
        <f t="shared" si="9"/>
        <v>0</v>
      </c>
      <c r="R30" s="187">
        <f t="shared" ref="R30:R31" si="10">L30-M30-N30-O30-P30-Q30</f>
        <v>0</v>
      </c>
      <c r="S30" s="187">
        <f>SUM(S32:S34)</f>
        <v>-8700000</v>
      </c>
      <c r="T30" s="187"/>
      <c r="U30" s="187">
        <f>SUM(U32:U34)</f>
        <v>4307840</v>
      </c>
      <c r="V30" s="194"/>
      <c r="W30" s="187"/>
      <c r="X30" s="187">
        <f>SUM(X32:X34)</f>
        <v>0</v>
      </c>
      <c r="Y30" s="187">
        <f>SUM(Y32:Y34)</f>
        <v>0</v>
      </c>
      <c r="Z30" s="187"/>
      <c r="AA30" s="187"/>
      <c r="AB30" s="187">
        <f>SUM(AB32:AB34)</f>
        <v>13007840</v>
      </c>
      <c r="AC30" s="187">
        <f>X30+Y30+AB30-N30</f>
        <v>13007840</v>
      </c>
      <c r="AD30" s="187">
        <f>SUM(AD32:AD34)</f>
        <v>0</v>
      </c>
      <c r="AE30" s="187">
        <f>SUM(AE32:AE34)</f>
        <v>0</v>
      </c>
      <c r="AF30" s="187">
        <f>SUM(AF32:AF34)</f>
        <v>0</v>
      </c>
      <c r="AG30" s="187">
        <f>SUM(AG32:AG34)</f>
        <v>0</v>
      </c>
      <c r="AH30" s="187">
        <f>SUM(AH32:AH34)</f>
        <v>0</v>
      </c>
      <c r="AI30" s="195"/>
      <c r="AJ30" s="187"/>
      <c r="AK30" s="185"/>
      <c r="AL30" s="196"/>
      <c r="AM30" s="197"/>
    </row>
    <row r="31" spans="1:39" s="198" customFormat="1">
      <c r="A31" s="193" t="s">
        <v>872</v>
      </c>
      <c r="B31" s="193"/>
      <c r="C31" s="193"/>
      <c r="D31" s="193"/>
      <c r="E31" s="182" t="s">
        <v>1225</v>
      </c>
      <c r="F31" s="182"/>
      <c r="G31" s="183" t="s">
        <v>21</v>
      </c>
      <c r="H31" s="183"/>
      <c r="I31" s="183"/>
      <c r="J31" s="190" t="s">
        <v>37</v>
      </c>
      <c r="K31" s="185"/>
      <c r="L31" s="290"/>
      <c r="M31" s="291"/>
      <c r="N31" s="297"/>
      <c r="O31" s="297"/>
      <c r="P31" s="297"/>
      <c r="Q31" s="297"/>
      <c r="R31" s="187">
        <f t="shared" si="10"/>
        <v>0</v>
      </c>
      <c r="S31" s="199"/>
      <c r="T31" s="199"/>
      <c r="U31" s="199"/>
      <c r="V31" s="200"/>
      <c r="W31" s="199"/>
      <c r="X31" s="199"/>
      <c r="Y31" s="199"/>
      <c r="Z31" s="199"/>
      <c r="AA31" s="199"/>
      <c r="AB31" s="199"/>
      <c r="AC31" s="199"/>
      <c r="AD31" s="199"/>
      <c r="AE31" s="199"/>
      <c r="AF31" s="199"/>
      <c r="AG31" s="199"/>
      <c r="AH31" s="199"/>
      <c r="AI31" s="195"/>
      <c r="AJ31" s="199"/>
      <c r="AK31" s="185"/>
      <c r="AL31" s="196"/>
      <c r="AM31" s="197"/>
    </row>
    <row r="32" spans="1:39" s="27" customFormat="1" ht="33">
      <c r="A32" s="72" t="s">
        <v>872</v>
      </c>
      <c r="B32" s="72"/>
      <c r="C32" s="72"/>
      <c r="D32" s="72"/>
      <c r="E32" s="120" t="s">
        <v>1469</v>
      </c>
      <c r="F32" s="120"/>
      <c r="G32" s="154" t="s">
        <v>22</v>
      </c>
      <c r="H32" s="154" t="s">
        <v>15</v>
      </c>
      <c r="I32" s="154" t="s">
        <v>16</v>
      </c>
      <c r="J32" s="125" t="s">
        <v>242</v>
      </c>
      <c r="K32" s="155" t="s">
        <v>18</v>
      </c>
      <c r="L32" s="284">
        <f>SUM(M32:Q32)</f>
        <v>227000</v>
      </c>
      <c r="M32" s="285">
        <v>227000</v>
      </c>
      <c r="N32" s="286"/>
      <c r="O32" s="301"/>
      <c r="P32" s="301"/>
      <c r="Q32" s="301"/>
      <c r="R32" s="67"/>
      <c r="S32" s="67"/>
      <c r="T32" s="67"/>
      <c r="U32" s="67">
        <v>500000</v>
      </c>
      <c r="V32" s="69">
        <v>3</v>
      </c>
      <c r="W32" s="67"/>
      <c r="X32" s="67"/>
      <c r="Y32" s="67"/>
      <c r="Z32" s="67"/>
      <c r="AA32" s="67"/>
      <c r="AB32" s="67">
        <v>500000</v>
      </c>
      <c r="AC32" s="67"/>
      <c r="AD32" s="67"/>
      <c r="AE32" s="67"/>
      <c r="AF32" s="67"/>
      <c r="AG32" s="67"/>
      <c r="AH32" s="67"/>
      <c r="AI32" s="14"/>
      <c r="AJ32" s="78"/>
      <c r="AK32" s="156">
        <v>2021</v>
      </c>
      <c r="AL32" s="83"/>
      <c r="AM32" s="84"/>
    </row>
    <row r="33" spans="1:39" s="66" customFormat="1" ht="49.5">
      <c r="A33" s="72" t="s">
        <v>872</v>
      </c>
      <c r="B33" s="72"/>
      <c r="C33" s="72"/>
      <c r="D33" s="72"/>
      <c r="E33" s="120" t="s">
        <v>905</v>
      </c>
      <c r="F33" s="120"/>
      <c r="G33" s="154" t="s">
        <v>243</v>
      </c>
      <c r="H33" s="154">
        <v>7370</v>
      </c>
      <c r="I33" s="154" t="s">
        <v>31</v>
      </c>
      <c r="J33" s="125" t="s">
        <v>184</v>
      </c>
      <c r="K33" s="157" t="s">
        <v>1124</v>
      </c>
      <c r="L33" s="284">
        <f>SUM(M33:Q33)</f>
        <v>211840</v>
      </c>
      <c r="M33" s="285">
        <v>211840</v>
      </c>
      <c r="N33" s="286"/>
      <c r="O33" s="302"/>
      <c r="P33" s="302"/>
      <c r="Q33" s="302"/>
      <c r="R33" s="43"/>
      <c r="S33" s="43">
        <f>-8000000-700000</f>
        <v>-8700000</v>
      </c>
      <c r="T33" s="43"/>
      <c r="U33" s="43">
        <f>12296000-8000000-700000</f>
        <v>3596000</v>
      </c>
      <c r="V33" s="69">
        <v>3</v>
      </c>
      <c r="W33" s="67"/>
      <c r="X33" s="67"/>
      <c r="Y33" s="67"/>
      <c r="Z33" s="67"/>
      <c r="AA33" s="67"/>
      <c r="AB33" s="67">
        <v>12296000</v>
      </c>
      <c r="AC33" s="67"/>
      <c r="AD33" s="67"/>
      <c r="AE33" s="67"/>
      <c r="AF33" s="67"/>
      <c r="AG33" s="67"/>
      <c r="AH33" s="67"/>
      <c r="AI33" s="71"/>
      <c r="AJ33" s="78"/>
      <c r="AK33" s="156">
        <v>2021</v>
      </c>
      <c r="AL33" s="83"/>
      <c r="AM33" s="84"/>
    </row>
    <row r="34" spans="1:39" s="27" customFormat="1" ht="33">
      <c r="A34" s="72" t="s">
        <v>872</v>
      </c>
      <c r="B34" s="72"/>
      <c r="C34" s="72"/>
      <c r="D34" s="72"/>
      <c r="E34" s="120" t="s">
        <v>905</v>
      </c>
      <c r="F34" s="120"/>
      <c r="G34" s="154" t="s">
        <v>243</v>
      </c>
      <c r="H34" s="154">
        <v>7370</v>
      </c>
      <c r="I34" s="154" t="s">
        <v>31</v>
      </c>
      <c r="J34" s="125" t="s">
        <v>184</v>
      </c>
      <c r="K34" s="157" t="s">
        <v>1125</v>
      </c>
      <c r="L34" s="284">
        <f>SUM(M34:Q34)</f>
        <v>172530</v>
      </c>
      <c r="M34" s="285">
        <v>172530</v>
      </c>
      <c r="N34" s="286"/>
      <c r="O34" s="301"/>
      <c r="P34" s="301"/>
      <c r="Q34" s="301"/>
      <c r="R34" s="67"/>
      <c r="S34" s="67"/>
      <c r="T34" s="67"/>
      <c r="U34" s="67">
        <v>211840</v>
      </c>
      <c r="V34" s="69">
        <v>3</v>
      </c>
      <c r="W34" s="67"/>
      <c r="X34" s="67"/>
      <c r="Y34" s="67"/>
      <c r="Z34" s="67"/>
      <c r="AA34" s="67"/>
      <c r="AB34" s="67">
        <v>211840</v>
      </c>
      <c r="AC34" s="67"/>
      <c r="AD34" s="67"/>
      <c r="AE34" s="67"/>
      <c r="AF34" s="67"/>
      <c r="AG34" s="67"/>
      <c r="AH34" s="67"/>
      <c r="AI34" s="14"/>
      <c r="AJ34" s="78"/>
      <c r="AK34" s="156">
        <v>2021</v>
      </c>
      <c r="AL34" s="83"/>
      <c r="AM34" s="84"/>
    </row>
    <row r="35" spans="1:39" s="198" customFormat="1">
      <c r="A35" s="193" t="s">
        <v>873</v>
      </c>
      <c r="B35" s="181" t="s">
        <v>193</v>
      </c>
      <c r="C35" s="181"/>
      <c r="D35" s="181"/>
      <c r="E35" s="182" t="s">
        <v>1225</v>
      </c>
      <c r="F35" s="182"/>
      <c r="G35" s="183" t="s">
        <v>19</v>
      </c>
      <c r="H35" s="183"/>
      <c r="I35" s="183"/>
      <c r="J35" s="184" t="s">
        <v>38</v>
      </c>
      <c r="K35" s="185"/>
      <c r="L35" s="287">
        <f t="shared" ref="L35" si="11">SUM(L37)</f>
        <v>120000</v>
      </c>
      <c r="M35" s="288">
        <f>SUM(M37)</f>
        <v>120000</v>
      </c>
      <c r="N35" s="289">
        <f>SUM(N37)</f>
        <v>0</v>
      </c>
      <c r="O35" s="289">
        <f t="shared" ref="O35:P35" si="12">SUM(O37)</f>
        <v>0</v>
      </c>
      <c r="P35" s="289">
        <f t="shared" si="12"/>
        <v>0</v>
      </c>
      <c r="Q35" s="289">
        <f t="shared" ref="Q35" si="13">SUM(Q37)</f>
        <v>0</v>
      </c>
      <c r="R35" s="187">
        <f t="shared" ref="R35:R36" si="14">L35-M35-N35-O35-P35-Q35</f>
        <v>0</v>
      </c>
      <c r="S35" s="187"/>
      <c r="T35" s="187"/>
      <c r="U35" s="187">
        <f>SUM(U37)</f>
        <v>120000</v>
      </c>
      <c r="V35" s="194"/>
      <c r="W35" s="187"/>
      <c r="X35" s="187">
        <f>SUM(X37)</f>
        <v>0</v>
      </c>
      <c r="Y35" s="187">
        <f>SUM(Y37)</f>
        <v>0</v>
      </c>
      <c r="Z35" s="187"/>
      <c r="AA35" s="187"/>
      <c r="AB35" s="187">
        <f>SUM(AB37)</f>
        <v>120000</v>
      </c>
      <c r="AC35" s="187">
        <f>X35+Y35+AB35-N35</f>
        <v>120000</v>
      </c>
      <c r="AD35" s="187">
        <f>SUM(AD37)</f>
        <v>0</v>
      </c>
      <c r="AE35" s="187">
        <f>SUM(AE37)</f>
        <v>0</v>
      </c>
      <c r="AF35" s="187">
        <f>SUM(AF37)</f>
        <v>0</v>
      </c>
      <c r="AG35" s="187">
        <f>SUM(AG37)</f>
        <v>0</v>
      </c>
      <c r="AH35" s="187">
        <f>SUM(AH37)</f>
        <v>0</v>
      </c>
      <c r="AI35" s="195"/>
      <c r="AJ35" s="187"/>
      <c r="AK35" s="185"/>
      <c r="AL35" s="196"/>
      <c r="AM35" s="197"/>
    </row>
    <row r="36" spans="1:39" s="198" customFormat="1">
      <c r="A36" s="193" t="s">
        <v>873</v>
      </c>
      <c r="B36" s="193"/>
      <c r="C36" s="193"/>
      <c r="D36" s="193"/>
      <c r="E36" s="182" t="s">
        <v>1225</v>
      </c>
      <c r="F36" s="182"/>
      <c r="G36" s="183" t="s">
        <v>21</v>
      </c>
      <c r="H36" s="183"/>
      <c r="I36" s="183"/>
      <c r="J36" s="190" t="s">
        <v>38</v>
      </c>
      <c r="K36" s="185"/>
      <c r="L36" s="290"/>
      <c r="M36" s="291"/>
      <c r="N36" s="297"/>
      <c r="O36" s="297"/>
      <c r="P36" s="297"/>
      <c r="Q36" s="297"/>
      <c r="R36" s="187">
        <f t="shared" si="14"/>
        <v>0</v>
      </c>
      <c r="S36" s="199"/>
      <c r="T36" s="199"/>
      <c r="U36" s="199"/>
      <c r="V36" s="200"/>
      <c r="W36" s="199"/>
      <c r="X36" s="199"/>
      <c r="Y36" s="199"/>
      <c r="Z36" s="199"/>
      <c r="AA36" s="199"/>
      <c r="AB36" s="199"/>
      <c r="AC36" s="199"/>
      <c r="AD36" s="199"/>
      <c r="AE36" s="199"/>
      <c r="AF36" s="199"/>
      <c r="AG36" s="199"/>
      <c r="AH36" s="199"/>
      <c r="AI36" s="195"/>
      <c r="AJ36" s="199"/>
      <c r="AK36" s="185"/>
      <c r="AL36" s="196"/>
      <c r="AM36" s="197"/>
    </row>
    <row r="37" spans="1:39" s="27" customFormat="1" ht="33">
      <c r="A37" s="34" t="s">
        <v>873</v>
      </c>
      <c r="B37" s="72"/>
      <c r="C37" s="72"/>
      <c r="D37" s="72"/>
      <c r="E37" s="120" t="s">
        <v>1469</v>
      </c>
      <c r="F37" s="120"/>
      <c r="G37" s="87" t="s">
        <v>22</v>
      </c>
      <c r="H37" s="87" t="s">
        <v>15</v>
      </c>
      <c r="I37" s="87" t="s">
        <v>16</v>
      </c>
      <c r="J37" s="81" t="s">
        <v>39</v>
      </c>
      <c r="K37" s="82" t="s">
        <v>18</v>
      </c>
      <c r="L37" s="298">
        <f>SUM(M37:Q37)</f>
        <v>120000</v>
      </c>
      <c r="M37" s="299">
        <v>120000</v>
      </c>
      <c r="N37" s="299"/>
      <c r="O37" s="301"/>
      <c r="P37" s="301"/>
      <c r="Q37" s="301"/>
      <c r="R37" s="67"/>
      <c r="S37" s="67"/>
      <c r="T37" s="67"/>
      <c r="U37" s="67">
        <v>120000</v>
      </c>
      <c r="V37" s="69">
        <v>3</v>
      </c>
      <c r="W37" s="67"/>
      <c r="X37" s="67"/>
      <c r="Y37" s="67"/>
      <c r="Z37" s="67"/>
      <c r="AA37" s="67"/>
      <c r="AB37" s="67">
        <v>120000</v>
      </c>
      <c r="AC37" s="67"/>
      <c r="AD37" s="67"/>
      <c r="AE37" s="67"/>
      <c r="AF37" s="67"/>
      <c r="AG37" s="67"/>
      <c r="AH37" s="67"/>
      <c r="AI37" s="14"/>
      <c r="AJ37" s="78"/>
      <c r="AK37" s="78">
        <v>2021</v>
      </c>
      <c r="AL37" s="83"/>
      <c r="AM37" s="84"/>
    </row>
    <row r="38" spans="1:39" s="198" customFormat="1">
      <c r="A38" s="193" t="s">
        <v>874</v>
      </c>
      <c r="B38" s="181" t="s">
        <v>193</v>
      </c>
      <c r="C38" s="181"/>
      <c r="D38" s="181"/>
      <c r="E38" s="182" t="s">
        <v>1225</v>
      </c>
      <c r="F38" s="182"/>
      <c r="G38" s="203" t="s">
        <v>19</v>
      </c>
      <c r="H38" s="203"/>
      <c r="I38" s="203"/>
      <c r="J38" s="204" t="s">
        <v>41</v>
      </c>
      <c r="K38" s="205"/>
      <c r="L38" s="287">
        <f>SUM(L40:L41)</f>
        <v>1500000</v>
      </c>
      <c r="M38" s="288">
        <f>SUM(M40:M41)</f>
        <v>1500000</v>
      </c>
      <c r="N38" s="289">
        <f>SUM(N40)</f>
        <v>0</v>
      </c>
      <c r="O38" s="289">
        <f t="shared" ref="O38:P38" si="15">SUM(O40)</f>
        <v>0</v>
      </c>
      <c r="P38" s="289">
        <f t="shared" si="15"/>
        <v>0</v>
      </c>
      <c r="Q38" s="289">
        <f t="shared" ref="Q38" si="16">SUM(Q40)</f>
        <v>0</v>
      </c>
      <c r="R38" s="187">
        <f t="shared" ref="R38:R39" si="17">L38-M38-N38-O38-P38-Q38</f>
        <v>0</v>
      </c>
      <c r="S38" s="187"/>
      <c r="T38" s="187"/>
      <c r="U38" s="187">
        <f>SUM(U40)</f>
        <v>800000</v>
      </c>
      <c r="V38" s="194"/>
      <c r="W38" s="187"/>
      <c r="X38" s="187">
        <f>SUM(X40)</f>
        <v>0</v>
      </c>
      <c r="Y38" s="187">
        <f>SUM(Y40)</f>
        <v>0</v>
      </c>
      <c r="Z38" s="187"/>
      <c r="AA38" s="187"/>
      <c r="AB38" s="187">
        <f>SUM(AB40)</f>
        <v>800000</v>
      </c>
      <c r="AC38" s="187">
        <f>X38+Y38+AB38-N38</f>
        <v>800000</v>
      </c>
      <c r="AD38" s="187">
        <f>SUM(AD40)</f>
        <v>0</v>
      </c>
      <c r="AE38" s="187">
        <f>SUM(AE40)</f>
        <v>0</v>
      </c>
      <c r="AF38" s="187">
        <f>SUM(AF40)</f>
        <v>0</v>
      </c>
      <c r="AG38" s="187">
        <f>SUM(AG40)</f>
        <v>0</v>
      </c>
      <c r="AH38" s="187">
        <f>SUM(AH40)</f>
        <v>0</v>
      </c>
      <c r="AI38" s="195"/>
      <c r="AJ38" s="186"/>
      <c r="AK38" s="185"/>
      <c r="AL38" s="196"/>
      <c r="AM38" s="197"/>
    </row>
    <row r="39" spans="1:39" s="198" customFormat="1">
      <c r="A39" s="193" t="s">
        <v>874</v>
      </c>
      <c r="B39" s="193"/>
      <c r="C39" s="193"/>
      <c r="D39" s="193"/>
      <c r="E39" s="182" t="s">
        <v>1225</v>
      </c>
      <c r="F39" s="182"/>
      <c r="G39" s="203" t="s">
        <v>21</v>
      </c>
      <c r="H39" s="203"/>
      <c r="I39" s="203"/>
      <c r="J39" s="206" t="s">
        <v>41</v>
      </c>
      <c r="K39" s="205"/>
      <c r="L39" s="290"/>
      <c r="M39" s="291"/>
      <c r="N39" s="297"/>
      <c r="O39" s="297"/>
      <c r="P39" s="297"/>
      <c r="Q39" s="297"/>
      <c r="R39" s="187">
        <f t="shared" si="17"/>
        <v>0</v>
      </c>
      <c r="S39" s="199"/>
      <c r="T39" s="199"/>
      <c r="U39" s="199"/>
      <c r="V39" s="200"/>
      <c r="W39" s="199"/>
      <c r="X39" s="199"/>
      <c r="Y39" s="199"/>
      <c r="Z39" s="199"/>
      <c r="AA39" s="199"/>
      <c r="AB39" s="199"/>
      <c r="AC39" s="199"/>
      <c r="AD39" s="199"/>
      <c r="AE39" s="199"/>
      <c r="AF39" s="199"/>
      <c r="AG39" s="199"/>
      <c r="AH39" s="199"/>
      <c r="AI39" s="195"/>
      <c r="AJ39" s="185"/>
      <c r="AK39" s="185"/>
      <c r="AL39" s="196"/>
      <c r="AM39" s="197"/>
    </row>
    <row r="40" spans="1:39" s="27" customFormat="1" ht="33.75" customHeight="1">
      <c r="A40" s="72" t="s">
        <v>874</v>
      </c>
      <c r="B40" s="72"/>
      <c r="C40" s="72"/>
      <c r="D40" s="72"/>
      <c r="E40" s="120" t="s">
        <v>1469</v>
      </c>
      <c r="F40" s="120"/>
      <c r="G40" s="160" t="s">
        <v>22</v>
      </c>
      <c r="H40" s="160" t="s">
        <v>15</v>
      </c>
      <c r="I40" s="160" t="s">
        <v>16</v>
      </c>
      <c r="J40" s="161" t="s">
        <v>42</v>
      </c>
      <c r="K40" s="155" t="s">
        <v>18</v>
      </c>
      <c r="L40" s="298">
        <f>SUM(M40:Q40)</f>
        <v>500000</v>
      </c>
      <c r="M40" s="299">
        <v>500000</v>
      </c>
      <c r="N40" s="301"/>
      <c r="O40" s="301"/>
      <c r="P40" s="301"/>
      <c r="Q40" s="301"/>
      <c r="R40" s="67"/>
      <c r="S40" s="67"/>
      <c r="T40" s="67"/>
      <c r="U40" s="67">
        <v>800000</v>
      </c>
      <c r="V40" s="9">
        <v>3</v>
      </c>
      <c r="W40" s="19"/>
      <c r="X40" s="19"/>
      <c r="Y40" s="19"/>
      <c r="Z40" s="52"/>
      <c r="AA40" s="52"/>
      <c r="AB40" s="19">
        <v>800000</v>
      </c>
      <c r="AC40" s="19"/>
      <c r="AD40" s="19"/>
      <c r="AE40" s="19"/>
      <c r="AF40" s="19"/>
      <c r="AG40" s="19"/>
      <c r="AH40" s="19"/>
      <c r="AI40" s="14"/>
      <c r="AJ40" s="156"/>
      <c r="AK40" s="156">
        <v>2021</v>
      </c>
      <c r="AL40" s="158"/>
      <c r="AM40" s="159"/>
    </row>
    <row r="41" spans="1:39" s="66" customFormat="1" ht="33.75" customHeight="1">
      <c r="A41" s="72" t="s">
        <v>874</v>
      </c>
      <c r="B41" s="72"/>
      <c r="C41" s="72"/>
      <c r="D41" s="72"/>
      <c r="E41" s="120"/>
      <c r="F41" s="120"/>
      <c r="G41" s="160" t="s">
        <v>244</v>
      </c>
      <c r="H41" s="160">
        <v>7310</v>
      </c>
      <c r="I41" s="160" t="s">
        <v>108</v>
      </c>
      <c r="J41" s="161" t="s">
        <v>186</v>
      </c>
      <c r="K41" s="155" t="s">
        <v>1365</v>
      </c>
      <c r="L41" s="293">
        <f>SUM(M41:Q41)</f>
        <v>1000000</v>
      </c>
      <c r="M41" s="294">
        <f>1000000</f>
        <v>1000000</v>
      </c>
      <c r="N41" s="302"/>
      <c r="O41" s="302"/>
      <c r="P41" s="302"/>
      <c r="Q41" s="302"/>
      <c r="R41" s="68"/>
      <c r="S41" s="67"/>
      <c r="T41" s="67"/>
      <c r="U41" s="67"/>
      <c r="V41" s="69"/>
      <c r="W41" s="67"/>
      <c r="X41" s="67"/>
      <c r="Y41" s="67"/>
      <c r="Z41" s="67"/>
      <c r="AA41" s="67"/>
      <c r="AB41" s="67"/>
      <c r="AC41" s="67"/>
      <c r="AD41" s="67"/>
      <c r="AE41" s="67"/>
      <c r="AF41" s="67"/>
      <c r="AG41" s="67"/>
      <c r="AH41" s="67"/>
      <c r="AI41" s="71"/>
      <c r="AJ41" s="156"/>
      <c r="AK41" s="156">
        <v>2021</v>
      </c>
      <c r="AL41" s="158"/>
      <c r="AM41" s="159"/>
    </row>
    <row r="42" spans="1:39" s="198" customFormat="1">
      <c r="A42" s="193" t="s">
        <v>875</v>
      </c>
      <c r="B42" s="181" t="s">
        <v>193</v>
      </c>
      <c r="C42" s="181"/>
      <c r="D42" s="181"/>
      <c r="E42" s="182" t="s">
        <v>1225</v>
      </c>
      <c r="F42" s="182"/>
      <c r="G42" s="183" t="s">
        <v>19</v>
      </c>
      <c r="H42" s="183"/>
      <c r="I42" s="183"/>
      <c r="J42" s="184" t="s">
        <v>43</v>
      </c>
      <c r="K42" s="201"/>
      <c r="L42" s="287">
        <f>SUM(L44:L64)</f>
        <v>20297577.890000001</v>
      </c>
      <c r="M42" s="288">
        <f>SUM(M44:M64)</f>
        <v>20297577.890000001</v>
      </c>
      <c r="N42" s="289">
        <f t="shared" ref="N42:Q42" si="18">SUM(N44:N64)</f>
        <v>0</v>
      </c>
      <c r="O42" s="289">
        <f t="shared" si="18"/>
        <v>0</v>
      </c>
      <c r="P42" s="289">
        <f t="shared" si="18"/>
        <v>0</v>
      </c>
      <c r="Q42" s="289">
        <f t="shared" si="18"/>
        <v>0</v>
      </c>
      <c r="R42" s="187">
        <f t="shared" ref="R42:R43" si="19">L42-M42-N42-O42-P42-Q42</f>
        <v>0</v>
      </c>
      <c r="S42" s="187"/>
      <c r="T42" s="187"/>
      <c r="U42" s="187">
        <f>SUM(U44:U60)</f>
        <v>31640600</v>
      </c>
      <c r="V42" s="187"/>
      <c r="W42" s="187">
        <f>SUM(W44:W60)</f>
        <v>0</v>
      </c>
      <c r="X42" s="187">
        <f>SUM(X44:X60)</f>
        <v>427900</v>
      </c>
      <c r="Y42" s="187">
        <f>SUM(Y44:Y60)</f>
        <v>13807650</v>
      </c>
      <c r="Z42" s="187"/>
      <c r="AA42" s="187"/>
      <c r="AB42" s="187" t="e">
        <f>SUM(AB44:AB60)</f>
        <v>#REF!</v>
      </c>
      <c r="AC42" s="187" t="e">
        <f>X42+Y42+AB42-N42</f>
        <v>#REF!</v>
      </c>
      <c r="AD42" s="187">
        <f t="shared" ref="AD42:AI42" si="20">SUM(AD44:AD60)</f>
        <v>0</v>
      </c>
      <c r="AE42" s="187">
        <f t="shared" si="20"/>
        <v>0</v>
      </c>
      <c r="AF42" s="187">
        <f t="shared" si="20"/>
        <v>0</v>
      </c>
      <c r="AG42" s="187">
        <f t="shared" si="20"/>
        <v>0</v>
      </c>
      <c r="AH42" s="187">
        <f t="shared" si="20"/>
        <v>0</v>
      </c>
      <c r="AI42" s="187">
        <f t="shared" si="20"/>
        <v>0</v>
      </c>
      <c r="AJ42" s="187">
        <f>SUM(AJ44:AJ64)</f>
        <v>700</v>
      </c>
      <c r="AK42" s="185"/>
      <c r="AL42" s="196"/>
      <c r="AM42" s="197"/>
    </row>
    <row r="43" spans="1:39" s="198" customFormat="1">
      <c r="A43" s="193" t="s">
        <v>875</v>
      </c>
      <c r="B43" s="193"/>
      <c r="C43" s="193"/>
      <c r="D43" s="193"/>
      <c r="E43" s="182" t="s">
        <v>1225</v>
      </c>
      <c r="F43" s="182"/>
      <c r="G43" s="183" t="s">
        <v>21</v>
      </c>
      <c r="H43" s="183"/>
      <c r="I43" s="183"/>
      <c r="J43" s="190" t="s">
        <v>43</v>
      </c>
      <c r="K43" s="201"/>
      <c r="L43" s="290"/>
      <c r="M43" s="291"/>
      <c r="N43" s="297"/>
      <c r="O43" s="297"/>
      <c r="P43" s="297"/>
      <c r="Q43" s="297"/>
      <c r="R43" s="187">
        <f t="shared" si="19"/>
        <v>0</v>
      </c>
      <c r="S43" s="199"/>
      <c r="T43" s="199"/>
      <c r="U43" s="199"/>
      <c r="V43" s="200"/>
      <c r="W43" s="199"/>
      <c r="X43" s="199"/>
      <c r="Y43" s="199"/>
      <c r="Z43" s="199"/>
      <c r="AA43" s="199"/>
      <c r="AB43" s="199"/>
      <c r="AC43" s="199"/>
      <c r="AD43" s="199"/>
      <c r="AE43" s="199"/>
      <c r="AF43" s="199"/>
      <c r="AG43" s="199"/>
      <c r="AH43" s="199"/>
      <c r="AI43" s="195"/>
      <c r="AJ43" s="199"/>
      <c r="AK43" s="185"/>
      <c r="AL43" s="196"/>
      <c r="AM43" s="197"/>
    </row>
    <row r="44" spans="1:39" s="27" customFormat="1" ht="33">
      <c r="A44" s="34" t="s">
        <v>875</v>
      </c>
      <c r="B44" s="72"/>
      <c r="C44" s="72"/>
      <c r="D44" s="72"/>
      <c r="E44" s="120" t="s">
        <v>1469</v>
      </c>
      <c r="F44" s="120"/>
      <c r="G44" s="88" t="s">
        <v>22</v>
      </c>
      <c r="H44" s="88" t="s">
        <v>15</v>
      </c>
      <c r="I44" s="88" t="s">
        <v>16</v>
      </c>
      <c r="J44" s="89" t="s">
        <v>42</v>
      </c>
      <c r="K44" s="82" t="s">
        <v>18</v>
      </c>
      <c r="L44" s="293">
        <f t="shared" ref="L44:L64" si="21">SUM(M44:Q44)</f>
        <v>400000</v>
      </c>
      <c r="M44" s="294">
        <v>400000</v>
      </c>
      <c r="N44" s="302"/>
      <c r="O44" s="302"/>
      <c r="P44" s="302"/>
      <c r="Q44" s="302"/>
      <c r="R44" s="68"/>
      <c r="S44" s="67"/>
      <c r="T44" s="67"/>
      <c r="U44" s="67">
        <v>500000</v>
      </c>
      <c r="V44" s="69">
        <v>3</v>
      </c>
      <c r="W44" s="67"/>
      <c r="X44" s="67"/>
      <c r="Y44" s="67"/>
      <c r="Z44" s="67"/>
      <c r="AA44" s="67"/>
      <c r="AB44" s="67">
        <v>500000</v>
      </c>
      <c r="AC44" s="67"/>
      <c r="AD44" s="67"/>
      <c r="AE44" s="67"/>
      <c r="AF44" s="67"/>
      <c r="AG44" s="67"/>
      <c r="AH44" s="67"/>
      <c r="AI44" s="14"/>
      <c r="AJ44" s="78"/>
      <c r="AK44" s="78">
        <v>2021</v>
      </c>
      <c r="AL44" s="83"/>
      <c r="AM44" s="84"/>
    </row>
    <row r="45" spans="1:39" s="27" customFormat="1" ht="33">
      <c r="A45" s="34" t="s">
        <v>875</v>
      </c>
      <c r="B45" s="34"/>
      <c r="C45" s="72"/>
      <c r="D45" s="72"/>
      <c r="E45" s="120" t="s">
        <v>903</v>
      </c>
      <c r="F45" s="120"/>
      <c r="G45" s="88" t="s">
        <v>729</v>
      </c>
      <c r="H45" s="88">
        <v>4081</v>
      </c>
      <c r="I45" s="88" t="s">
        <v>730</v>
      </c>
      <c r="J45" s="89" t="s">
        <v>731</v>
      </c>
      <c r="K45" s="82" t="s">
        <v>926</v>
      </c>
      <c r="L45" s="293">
        <f t="shared" si="21"/>
        <v>45000</v>
      </c>
      <c r="M45" s="294">
        <v>45000</v>
      </c>
      <c r="N45" s="302"/>
      <c r="O45" s="302"/>
      <c r="P45" s="302"/>
      <c r="Q45" s="302"/>
      <c r="R45" s="68"/>
      <c r="S45" s="67"/>
      <c r="T45" s="67"/>
      <c r="U45" s="67">
        <v>45000</v>
      </c>
      <c r="V45" s="9">
        <v>3</v>
      </c>
      <c r="W45" s="19"/>
      <c r="X45" s="19"/>
      <c r="Y45" s="19"/>
      <c r="Z45" s="52"/>
      <c r="AA45" s="52"/>
      <c r="AB45" s="19">
        <v>45000</v>
      </c>
      <c r="AC45" s="19"/>
      <c r="AD45" s="19"/>
      <c r="AE45" s="19"/>
      <c r="AF45" s="19"/>
      <c r="AG45" s="19"/>
      <c r="AH45" s="19"/>
      <c r="AI45" s="14"/>
      <c r="AJ45" s="78"/>
      <c r="AK45" s="78">
        <v>2021</v>
      </c>
      <c r="AL45" s="85"/>
      <c r="AM45" s="84"/>
    </row>
    <row r="46" spans="1:39" s="27" customFormat="1" ht="49.5">
      <c r="A46" s="34" t="s">
        <v>875</v>
      </c>
      <c r="B46" s="34"/>
      <c r="C46" s="72"/>
      <c r="D46" s="72"/>
      <c r="E46" s="120" t="s">
        <v>903</v>
      </c>
      <c r="F46" s="120"/>
      <c r="G46" s="88" t="s">
        <v>729</v>
      </c>
      <c r="H46" s="88">
        <v>4081</v>
      </c>
      <c r="I46" s="88" t="s">
        <v>730</v>
      </c>
      <c r="J46" s="89" t="s">
        <v>731</v>
      </c>
      <c r="K46" s="82" t="s">
        <v>781</v>
      </c>
      <c r="L46" s="293">
        <f t="shared" si="21"/>
        <v>180000</v>
      </c>
      <c r="M46" s="294">
        <v>180000</v>
      </c>
      <c r="N46" s="302"/>
      <c r="O46" s="302"/>
      <c r="P46" s="302"/>
      <c r="Q46" s="302"/>
      <c r="R46" s="68"/>
      <c r="S46" s="67"/>
      <c r="T46" s="67"/>
      <c r="U46" s="67">
        <v>180000</v>
      </c>
      <c r="V46" s="9">
        <v>3</v>
      </c>
      <c r="W46" s="19"/>
      <c r="X46" s="19"/>
      <c r="Y46" s="19"/>
      <c r="Z46" s="52"/>
      <c r="AA46" s="52"/>
      <c r="AB46" s="19">
        <v>180000</v>
      </c>
      <c r="AC46" s="19"/>
      <c r="AD46" s="19"/>
      <c r="AE46" s="19"/>
      <c r="AF46" s="19"/>
      <c r="AG46" s="19"/>
      <c r="AH46" s="19"/>
      <c r="AI46" s="14"/>
      <c r="AJ46" s="78"/>
      <c r="AK46" s="78">
        <v>2021</v>
      </c>
      <c r="AL46" s="85"/>
      <c r="AM46" s="84"/>
    </row>
    <row r="47" spans="1:39" s="27" customFormat="1" ht="66">
      <c r="A47" s="34" t="s">
        <v>875</v>
      </c>
      <c r="B47" s="72"/>
      <c r="C47" s="72"/>
      <c r="D47" s="72"/>
      <c r="E47" s="120" t="s">
        <v>901</v>
      </c>
      <c r="F47" s="120"/>
      <c r="G47" s="88" t="s">
        <v>246</v>
      </c>
      <c r="H47" s="160">
        <v>6030</v>
      </c>
      <c r="I47" s="160" t="s">
        <v>225</v>
      </c>
      <c r="J47" s="161" t="s">
        <v>226</v>
      </c>
      <c r="K47" s="82" t="s">
        <v>1366</v>
      </c>
      <c r="L47" s="293">
        <f t="shared" si="21"/>
        <v>200000</v>
      </c>
      <c r="M47" s="294">
        <v>200000</v>
      </c>
      <c r="N47" s="302"/>
      <c r="O47" s="302"/>
      <c r="P47" s="302"/>
      <c r="Q47" s="302"/>
      <c r="R47" s="68"/>
      <c r="S47" s="67"/>
      <c r="T47" s="67"/>
      <c r="U47" s="67">
        <v>200000</v>
      </c>
      <c r="V47" s="69">
        <v>3</v>
      </c>
      <c r="W47" s="67"/>
      <c r="X47" s="67"/>
      <c r="Y47" s="67"/>
      <c r="Z47" s="67"/>
      <c r="AA47" s="67"/>
      <c r="AB47" s="67">
        <v>200000</v>
      </c>
      <c r="AC47" s="67"/>
      <c r="AD47" s="67"/>
      <c r="AE47" s="67"/>
      <c r="AF47" s="67"/>
      <c r="AG47" s="67"/>
      <c r="AH47" s="67"/>
      <c r="AI47" s="14"/>
      <c r="AJ47" s="78"/>
      <c r="AK47" s="78">
        <v>2021</v>
      </c>
      <c r="AL47" s="85"/>
      <c r="AM47" s="84"/>
    </row>
    <row r="48" spans="1:39" s="27" customFormat="1" ht="66">
      <c r="A48" s="34" t="s">
        <v>875</v>
      </c>
      <c r="B48" s="34"/>
      <c r="C48" s="72"/>
      <c r="D48" s="72"/>
      <c r="E48" s="120" t="s">
        <v>901</v>
      </c>
      <c r="F48" s="120"/>
      <c r="G48" s="88" t="s">
        <v>244</v>
      </c>
      <c r="H48" s="160">
        <v>7310</v>
      </c>
      <c r="I48" s="160" t="s">
        <v>108</v>
      </c>
      <c r="J48" s="161" t="s">
        <v>186</v>
      </c>
      <c r="K48" s="82" t="s">
        <v>750</v>
      </c>
      <c r="L48" s="298">
        <f t="shared" si="21"/>
        <v>2800000</v>
      </c>
      <c r="M48" s="299">
        <v>2800000</v>
      </c>
      <c r="N48" s="301"/>
      <c r="O48" s="301"/>
      <c r="P48" s="301"/>
      <c r="Q48" s="301"/>
      <c r="R48" s="67"/>
      <c r="S48" s="67"/>
      <c r="T48" s="67"/>
      <c r="U48" s="67">
        <v>49000</v>
      </c>
      <c r="V48" s="9">
        <v>3</v>
      </c>
      <c r="W48" s="19"/>
      <c r="X48" s="19"/>
      <c r="Y48" s="19"/>
      <c r="Z48" s="52"/>
      <c r="AA48" s="52"/>
      <c r="AB48" s="19">
        <v>49000</v>
      </c>
      <c r="AC48" s="19"/>
      <c r="AD48" s="19"/>
      <c r="AE48" s="19"/>
      <c r="AF48" s="19"/>
      <c r="AG48" s="19"/>
      <c r="AH48" s="19"/>
      <c r="AI48" s="14"/>
      <c r="AJ48" s="78">
        <v>100</v>
      </c>
      <c r="AK48" s="78" t="s">
        <v>271</v>
      </c>
      <c r="AL48" s="85">
        <v>2800000</v>
      </c>
      <c r="AM48" s="84"/>
    </row>
    <row r="49" spans="1:39" s="27" customFormat="1" ht="49.5">
      <c r="A49" s="34" t="s">
        <v>875</v>
      </c>
      <c r="B49" s="34"/>
      <c r="C49" s="72"/>
      <c r="D49" s="72"/>
      <c r="E49" s="120" t="s">
        <v>901</v>
      </c>
      <c r="F49" s="120"/>
      <c r="G49" s="88" t="s">
        <v>244</v>
      </c>
      <c r="H49" s="160">
        <v>7310</v>
      </c>
      <c r="I49" s="160" t="s">
        <v>108</v>
      </c>
      <c r="J49" s="161" t="s">
        <v>186</v>
      </c>
      <c r="K49" s="82" t="s">
        <v>749</v>
      </c>
      <c r="L49" s="298">
        <f t="shared" si="21"/>
        <v>45000</v>
      </c>
      <c r="M49" s="299">
        <v>45000</v>
      </c>
      <c r="N49" s="301"/>
      <c r="O49" s="301"/>
      <c r="P49" s="301"/>
      <c r="Q49" s="301"/>
      <c r="R49" s="67"/>
      <c r="S49" s="67"/>
      <c r="T49" s="67"/>
      <c r="U49" s="67">
        <v>2800000</v>
      </c>
      <c r="V49" s="9">
        <v>3</v>
      </c>
      <c r="W49" s="19"/>
      <c r="X49" s="19"/>
      <c r="Y49" s="19"/>
      <c r="Z49" s="52"/>
      <c r="AA49" s="52"/>
      <c r="AB49" s="19">
        <v>2800000</v>
      </c>
      <c r="AC49" s="19"/>
      <c r="AD49" s="19"/>
      <c r="AE49" s="19"/>
      <c r="AF49" s="19"/>
      <c r="AG49" s="19"/>
      <c r="AH49" s="19"/>
      <c r="AI49" s="14"/>
      <c r="AJ49" s="78">
        <v>100</v>
      </c>
      <c r="AK49" s="78">
        <v>2021</v>
      </c>
      <c r="AL49" s="85">
        <v>2000000</v>
      </c>
      <c r="AM49" s="84"/>
    </row>
    <row r="50" spans="1:39" s="27" customFormat="1" ht="33">
      <c r="A50" s="34" t="s">
        <v>875</v>
      </c>
      <c r="B50" s="72"/>
      <c r="C50" s="72"/>
      <c r="D50" s="72"/>
      <c r="E50" s="120" t="s">
        <v>903</v>
      </c>
      <c r="F50" s="120"/>
      <c r="G50" s="88" t="s">
        <v>727</v>
      </c>
      <c r="H50" s="160" t="s">
        <v>217</v>
      </c>
      <c r="I50" s="160" t="s">
        <v>108</v>
      </c>
      <c r="J50" s="161" t="s">
        <v>218</v>
      </c>
      <c r="K50" s="82" t="s">
        <v>747</v>
      </c>
      <c r="L50" s="298">
        <f t="shared" si="21"/>
        <v>262500</v>
      </c>
      <c r="M50" s="299">
        <v>262500</v>
      </c>
      <c r="N50" s="301"/>
      <c r="O50" s="301"/>
      <c r="P50" s="301"/>
      <c r="Q50" s="301"/>
      <c r="R50" s="67"/>
      <c r="S50" s="67"/>
      <c r="T50" s="67"/>
      <c r="U50" s="67">
        <v>500000</v>
      </c>
      <c r="V50" s="69">
        <v>3</v>
      </c>
      <c r="W50" s="67"/>
      <c r="X50" s="67"/>
      <c r="Y50" s="67"/>
      <c r="Z50" s="67"/>
      <c r="AA50" s="67"/>
      <c r="AB50" s="67">
        <v>500000</v>
      </c>
      <c r="AC50" s="67"/>
      <c r="AD50" s="67"/>
      <c r="AE50" s="67"/>
      <c r="AF50" s="67"/>
      <c r="AG50" s="67"/>
      <c r="AH50" s="67"/>
      <c r="AI50" s="71"/>
      <c r="AJ50" s="78">
        <v>100</v>
      </c>
      <c r="AK50" s="78" t="s">
        <v>271</v>
      </c>
      <c r="AL50" s="85">
        <v>431532</v>
      </c>
      <c r="AM50" s="84">
        <v>100</v>
      </c>
    </row>
    <row r="51" spans="1:39" s="27" customFormat="1" ht="49.5">
      <c r="A51" s="34" t="s">
        <v>875</v>
      </c>
      <c r="B51" s="34"/>
      <c r="C51" s="72"/>
      <c r="D51" s="72"/>
      <c r="E51" s="120" t="s">
        <v>903</v>
      </c>
      <c r="F51" s="120"/>
      <c r="G51" s="249" t="s">
        <v>1452</v>
      </c>
      <c r="H51" s="88" t="s">
        <v>217</v>
      </c>
      <c r="I51" s="88" t="s">
        <v>108</v>
      </c>
      <c r="J51" s="89" t="s">
        <v>218</v>
      </c>
      <c r="K51" s="82" t="s">
        <v>748</v>
      </c>
      <c r="L51" s="298">
        <f t="shared" si="21"/>
        <v>165400</v>
      </c>
      <c r="M51" s="299">
        <v>165400</v>
      </c>
      <c r="N51" s="301"/>
      <c r="O51" s="301"/>
      <c r="P51" s="301"/>
      <c r="Q51" s="301"/>
      <c r="R51" s="67"/>
      <c r="S51" s="67"/>
      <c r="T51" s="67"/>
      <c r="U51" s="67">
        <v>1591050</v>
      </c>
      <c r="V51" s="9">
        <v>3</v>
      </c>
      <c r="W51" s="19"/>
      <c r="X51" s="19"/>
      <c r="Y51" s="19"/>
      <c r="Z51" s="52"/>
      <c r="AA51" s="52"/>
      <c r="AB51" s="19">
        <v>1591050</v>
      </c>
      <c r="AC51" s="19"/>
      <c r="AD51" s="19"/>
      <c r="AE51" s="19"/>
      <c r="AF51" s="19"/>
      <c r="AG51" s="19"/>
      <c r="AH51" s="19"/>
      <c r="AI51" s="14"/>
      <c r="AJ51" s="78">
        <v>100</v>
      </c>
      <c r="AK51" s="78" t="s">
        <v>271</v>
      </c>
      <c r="AL51" s="85">
        <v>475902</v>
      </c>
      <c r="AM51" s="84">
        <v>100</v>
      </c>
    </row>
    <row r="52" spans="1:39" s="27" customFormat="1" ht="49.5">
      <c r="A52" s="34" t="s">
        <v>875</v>
      </c>
      <c r="B52" s="34"/>
      <c r="C52" s="72"/>
      <c r="D52" s="72"/>
      <c r="E52" s="120"/>
      <c r="F52" s="120"/>
      <c r="G52" s="88" t="s">
        <v>727</v>
      </c>
      <c r="H52" s="88" t="s">
        <v>217</v>
      </c>
      <c r="I52" s="88" t="s">
        <v>108</v>
      </c>
      <c r="J52" s="89" t="s">
        <v>218</v>
      </c>
      <c r="K52" s="82" t="s">
        <v>728</v>
      </c>
      <c r="L52" s="298">
        <f t="shared" si="21"/>
        <v>942027.89</v>
      </c>
      <c r="M52" s="299">
        <v>942027.89</v>
      </c>
      <c r="N52" s="301"/>
      <c r="O52" s="301"/>
      <c r="P52" s="301"/>
      <c r="Q52" s="301"/>
      <c r="R52" s="67"/>
      <c r="S52" s="67"/>
      <c r="T52" s="67"/>
      <c r="U52" s="67">
        <v>262500</v>
      </c>
      <c r="V52" s="9">
        <v>1</v>
      </c>
      <c r="W52" s="19"/>
      <c r="X52" s="19">
        <v>262500</v>
      </c>
      <c r="Y52" s="19"/>
      <c r="Z52" s="52"/>
      <c r="AA52" s="52"/>
      <c r="AB52" s="19"/>
      <c r="AC52" s="19"/>
      <c r="AD52" s="19"/>
      <c r="AE52" s="19"/>
      <c r="AF52" s="19"/>
      <c r="AG52" s="19"/>
      <c r="AH52" s="19"/>
      <c r="AI52" s="14"/>
      <c r="AJ52" s="78"/>
      <c r="AK52" s="90" t="s">
        <v>271</v>
      </c>
      <c r="AL52" s="85">
        <v>1600000</v>
      </c>
      <c r="AM52" s="84"/>
    </row>
    <row r="53" spans="1:39" s="27" customFormat="1" ht="49.5">
      <c r="A53" s="34" t="s">
        <v>875</v>
      </c>
      <c r="B53" s="34"/>
      <c r="C53" s="72"/>
      <c r="D53" s="72"/>
      <c r="E53" s="120" t="s">
        <v>903</v>
      </c>
      <c r="F53" s="120"/>
      <c r="G53" s="88" t="s">
        <v>727</v>
      </c>
      <c r="H53" s="88" t="s">
        <v>217</v>
      </c>
      <c r="I53" s="88" t="s">
        <v>108</v>
      </c>
      <c r="J53" s="89" t="s">
        <v>218</v>
      </c>
      <c r="K53" s="82" t="s">
        <v>927</v>
      </c>
      <c r="L53" s="298">
        <f t="shared" si="21"/>
        <v>700000</v>
      </c>
      <c r="M53" s="299">
        <v>700000</v>
      </c>
      <c r="N53" s="301"/>
      <c r="O53" s="301"/>
      <c r="P53" s="301"/>
      <c r="Q53" s="301"/>
      <c r="R53" s="67"/>
      <c r="S53" s="67"/>
      <c r="T53" s="67"/>
      <c r="U53" s="67">
        <v>165400</v>
      </c>
      <c r="V53" s="9">
        <v>1</v>
      </c>
      <c r="W53" s="19"/>
      <c r="X53" s="19">
        <v>165400</v>
      </c>
      <c r="Y53" s="19"/>
      <c r="Z53" s="52"/>
      <c r="AA53" s="52"/>
      <c r="AB53" s="19"/>
      <c r="AC53" s="19"/>
      <c r="AD53" s="19"/>
      <c r="AE53" s="19"/>
      <c r="AF53" s="19"/>
      <c r="AG53" s="19"/>
      <c r="AH53" s="19"/>
      <c r="AI53" s="14"/>
      <c r="AJ53" s="78">
        <v>100</v>
      </c>
      <c r="AK53" s="90" t="s">
        <v>271</v>
      </c>
      <c r="AL53" s="85">
        <v>1440000</v>
      </c>
      <c r="AM53" s="84"/>
    </row>
    <row r="54" spans="1:39" s="27" customFormat="1" ht="33">
      <c r="A54" s="34" t="s">
        <v>875</v>
      </c>
      <c r="B54" s="34"/>
      <c r="C54" s="72"/>
      <c r="D54" s="72"/>
      <c r="E54" s="120"/>
      <c r="F54" s="120"/>
      <c r="G54" s="249" t="s">
        <v>1452</v>
      </c>
      <c r="H54" s="88" t="s">
        <v>217</v>
      </c>
      <c r="I54" s="88" t="s">
        <v>108</v>
      </c>
      <c r="J54" s="89" t="s">
        <v>218</v>
      </c>
      <c r="K54" s="82" t="s">
        <v>1367</v>
      </c>
      <c r="L54" s="298">
        <f t="shared" si="21"/>
        <v>500000</v>
      </c>
      <c r="M54" s="299">
        <v>500000</v>
      </c>
      <c r="N54" s="301"/>
      <c r="O54" s="301"/>
      <c r="P54" s="301"/>
      <c r="Q54" s="301"/>
      <c r="R54" s="67"/>
      <c r="S54" s="67"/>
      <c r="T54" s="67"/>
      <c r="U54" s="67">
        <v>1600000</v>
      </c>
      <c r="V54" s="9">
        <v>3</v>
      </c>
      <c r="W54" s="19"/>
      <c r="X54" s="19"/>
      <c r="Y54" s="19"/>
      <c r="Z54" s="52"/>
      <c r="AA54" s="52"/>
      <c r="AB54" s="19">
        <v>1600000</v>
      </c>
      <c r="AC54" s="19"/>
      <c r="AD54" s="19"/>
      <c r="AE54" s="19"/>
      <c r="AF54" s="19"/>
      <c r="AG54" s="19"/>
      <c r="AH54" s="19"/>
      <c r="AI54" s="14"/>
      <c r="AJ54" s="78"/>
      <c r="AK54" s="90">
        <v>2021</v>
      </c>
      <c r="AL54" s="85"/>
      <c r="AM54" s="84"/>
    </row>
    <row r="55" spans="1:39" s="27" customFormat="1" ht="82.5">
      <c r="A55" s="34" t="s">
        <v>875</v>
      </c>
      <c r="B55" s="34"/>
      <c r="C55" s="72"/>
      <c r="D55" s="72"/>
      <c r="E55" s="120" t="s">
        <v>901</v>
      </c>
      <c r="F55" s="120"/>
      <c r="G55" s="250" t="s">
        <v>1453</v>
      </c>
      <c r="H55" s="88" t="s">
        <v>217</v>
      </c>
      <c r="I55" s="88" t="s">
        <v>108</v>
      </c>
      <c r="J55" s="89" t="s">
        <v>218</v>
      </c>
      <c r="K55" s="82" t="s">
        <v>1368</v>
      </c>
      <c r="L55" s="298">
        <f t="shared" si="21"/>
        <v>385000</v>
      </c>
      <c r="M55" s="299">
        <v>385000</v>
      </c>
      <c r="N55" s="301"/>
      <c r="O55" s="301"/>
      <c r="P55" s="301"/>
      <c r="Q55" s="301"/>
      <c r="R55" s="67"/>
      <c r="S55" s="67"/>
      <c r="T55" s="67"/>
      <c r="U55" s="67">
        <v>500000</v>
      </c>
      <c r="V55" s="9">
        <v>3</v>
      </c>
      <c r="W55" s="19"/>
      <c r="X55" s="67"/>
      <c r="Y55" s="19"/>
      <c r="Z55" s="52"/>
      <c r="AA55" s="52"/>
      <c r="AB55" s="19">
        <v>500000</v>
      </c>
      <c r="AC55" s="19"/>
      <c r="AD55" s="19"/>
      <c r="AE55" s="19"/>
      <c r="AF55" s="19"/>
      <c r="AG55" s="19"/>
      <c r="AH55" s="19"/>
      <c r="AI55" s="14"/>
      <c r="AJ55" s="78">
        <v>100</v>
      </c>
      <c r="AK55" s="90" t="s">
        <v>271</v>
      </c>
      <c r="AL55" s="85">
        <v>385000</v>
      </c>
      <c r="AM55" s="84"/>
    </row>
    <row r="56" spans="1:39" s="27" customFormat="1" ht="49.5">
      <c r="A56" s="34" t="s">
        <v>875</v>
      </c>
      <c r="B56" s="34"/>
      <c r="C56" s="72"/>
      <c r="D56" s="72"/>
      <c r="E56" s="120" t="s">
        <v>901</v>
      </c>
      <c r="F56" s="120"/>
      <c r="G56" s="88" t="s">
        <v>727</v>
      </c>
      <c r="H56" s="88" t="s">
        <v>217</v>
      </c>
      <c r="I56" s="88" t="s">
        <v>108</v>
      </c>
      <c r="J56" s="89" t="s">
        <v>218</v>
      </c>
      <c r="K56" s="82" t="s">
        <v>957</v>
      </c>
      <c r="L56" s="298">
        <f t="shared" si="21"/>
        <v>322650</v>
      </c>
      <c r="M56" s="299">
        <v>322650</v>
      </c>
      <c r="N56" s="301"/>
      <c r="O56" s="301"/>
      <c r="P56" s="301"/>
      <c r="Q56" s="301"/>
      <c r="R56" s="67"/>
      <c r="S56" s="67"/>
      <c r="T56" s="67"/>
      <c r="U56" s="67">
        <v>1440000</v>
      </c>
      <c r="V56" s="9">
        <v>3</v>
      </c>
      <c r="W56" s="19"/>
      <c r="X56" s="19"/>
      <c r="Y56" s="19"/>
      <c r="Z56" s="52"/>
      <c r="AA56" s="52"/>
      <c r="AB56" s="19">
        <v>1440000</v>
      </c>
      <c r="AC56" s="19"/>
      <c r="AD56" s="19"/>
      <c r="AE56" s="19"/>
      <c r="AF56" s="19"/>
      <c r="AG56" s="19"/>
      <c r="AH56" s="19"/>
      <c r="AI56" s="14"/>
      <c r="AJ56" s="78">
        <v>100</v>
      </c>
      <c r="AK56" s="90" t="s">
        <v>732</v>
      </c>
      <c r="AL56" s="85">
        <v>1826000</v>
      </c>
      <c r="AM56" s="84">
        <v>77</v>
      </c>
    </row>
    <row r="57" spans="1:39" s="27" customFormat="1" ht="49.5">
      <c r="A57" s="34" t="s">
        <v>875</v>
      </c>
      <c r="B57" s="34"/>
      <c r="C57" s="72"/>
      <c r="D57" s="72"/>
      <c r="E57" s="120"/>
      <c r="F57" s="120"/>
      <c r="G57" s="88" t="s">
        <v>29</v>
      </c>
      <c r="H57" s="88" t="s">
        <v>30</v>
      </c>
      <c r="I57" s="88" t="s">
        <v>31</v>
      </c>
      <c r="J57" s="89" t="s">
        <v>32</v>
      </c>
      <c r="K57" s="82" t="s">
        <v>1369</v>
      </c>
      <c r="L57" s="298">
        <f t="shared" si="21"/>
        <v>4000000</v>
      </c>
      <c r="M57" s="299">
        <v>4000000</v>
      </c>
      <c r="N57" s="301"/>
      <c r="O57" s="301"/>
      <c r="P57" s="301"/>
      <c r="Q57" s="301"/>
      <c r="R57" s="67"/>
      <c r="S57" s="67"/>
      <c r="T57" s="67"/>
      <c r="U57" s="67">
        <v>385000</v>
      </c>
      <c r="V57" s="9">
        <v>2</v>
      </c>
      <c r="W57" s="19"/>
      <c r="X57" s="19"/>
      <c r="Y57" s="19">
        <v>385000</v>
      </c>
      <c r="Z57" s="52"/>
      <c r="AA57" s="52"/>
      <c r="AB57" s="19"/>
      <c r="AC57" s="19"/>
      <c r="AD57" s="19"/>
      <c r="AE57" s="19"/>
      <c r="AF57" s="19"/>
      <c r="AG57" s="19"/>
      <c r="AH57" s="19"/>
      <c r="AI57" s="14"/>
      <c r="AJ57" s="78"/>
      <c r="AK57" s="78">
        <v>2021</v>
      </c>
      <c r="AL57" s="85"/>
      <c r="AM57" s="84"/>
    </row>
    <row r="58" spans="1:39" s="27" customFormat="1" ht="49.5">
      <c r="A58" s="34" t="s">
        <v>875</v>
      </c>
      <c r="B58" s="34"/>
      <c r="C58" s="72"/>
      <c r="D58" s="72"/>
      <c r="E58" s="120"/>
      <c r="F58" s="120"/>
      <c r="G58" s="88" t="s">
        <v>29</v>
      </c>
      <c r="H58" s="88" t="s">
        <v>30</v>
      </c>
      <c r="I58" s="88" t="s">
        <v>31</v>
      </c>
      <c r="J58" s="89" t="s">
        <v>32</v>
      </c>
      <c r="K58" s="82" t="s">
        <v>1370</v>
      </c>
      <c r="L58" s="298">
        <f t="shared" si="21"/>
        <v>4000000</v>
      </c>
      <c r="M58" s="299">
        <v>4000000</v>
      </c>
      <c r="N58" s="301"/>
      <c r="O58" s="301"/>
      <c r="P58" s="301"/>
      <c r="Q58" s="301"/>
      <c r="R58" s="67"/>
      <c r="S58" s="67"/>
      <c r="T58" s="67"/>
      <c r="U58" s="67">
        <v>322650</v>
      </c>
      <c r="V58" s="9">
        <v>2</v>
      </c>
      <c r="W58" s="19"/>
      <c r="X58" s="19"/>
      <c r="Y58" s="19">
        <v>322650</v>
      </c>
      <c r="Z58" s="52"/>
      <c r="AA58" s="52"/>
      <c r="AB58" s="19"/>
      <c r="AC58" s="19"/>
      <c r="AD58" s="19"/>
      <c r="AE58" s="19"/>
      <c r="AF58" s="19"/>
      <c r="AG58" s="19"/>
      <c r="AH58" s="19"/>
      <c r="AI58" s="14"/>
      <c r="AJ58" s="78"/>
      <c r="AK58" s="78">
        <v>2021</v>
      </c>
      <c r="AL58" s="85"/>
      <c r="AM58" s="84"/>
    </row>
    <row r="59" spans="1:39" s="27" customFormat="1" ht="33">
      <c r="A59" s="34" t="s">
        <v>875</v>
      </c>
      <c r="B59" s="34"/>
      <c r="C59" s="72"/>
      <c r="D59" s="72"/>
      <c r="E59" s="120"/>
      <c r="F59" s="120"/>
      <c r="G59" s="88" t="s">
        <v>29</v>
      </c>
      <c r="H59" s="88" t="s">
        <v>30</v>
      </c>
      <c r="I59" s="88" t="s">
        <v>31</v>
      </c>
      <c r="J59" s="89" t="s">
        <v>32</v>
      </c>
      <c r="K59" s="82" t="s">
        <v>1371</v>
      </c>
      <c r="L59" s="298">
        <f t="shared" si="21"/>
        <v>4000000</v>
      </c>
      <c r="M59" s="299">
        <v>4000000</v>
      </c>
      <c r="N59" s="301"/>
      <c r="O59" s="301"/>
      <c r="P59" s="301"/>
      <c r="Q59" s="301"/>
      <c r="R59" s="67"/>
      <c r="S59" s="67"/>
      <c r="T59" s="67"/>
      <c r="U59" s="67">
        <v>3000000</v>
      </c>
      <c r="V59" s="9">
        <v>3</v>
      </c>
      <c r="W59" s="19"/>
      <c r="X59" s="19"/>
      <c r="Y59" s="19"/>
      <c r="Z59" s="52"/>
      <c r="AA59" s="52"/>
      <c r="AB59" s="19">
        <v>3000000</v>
      </c>
      <c r="AC59" s="19"/>
      <c r="AD59" s="19"/>
      <c r="AE59" s="19"/>
      <c r="AF59" s="19"/>
      <c r="AG59" s="19"/>
      <c r="AH59" s="19"/>
      <c r="AI59" s="14"/>
      <c r="AJ59" s="78"/>
      <c r="AK59" s="78">
        <v>2021</v>
      </c>
      <c r="AL59" s="85"/>
      <c r="AM59" s="84"/>
    </row>
    <row r="60" spans="1:39" s="27" customFormat="1" ht="66">
      <c r="A60" s="34" t="s">
        <v>875</v>
      </c>
      <c r="B60" s="34"/>
      <c r="C60" s="72"/>
      <c r="D60" s="72"/>
      <c r="E60" s="120"/>
      <c r="F60" s="120"/>
      <c r="G60" s="88" t="s">
        <v>29</v>
      </c>
      <c r="H60" s="88" t="s">
        <v>30</v>
      </c>
      <c r="I60" s="88" t="s">
        <v>31</v>
      </c>
      <c r="J60" s="89" t="s">
        <v>32</v>
      </c>
      <c r="K60" s="82" t="s">
        <v>1372</v>
      </c>
      <c r="L60" s="298">
        <f t="shared" si="21"/>
        <v>100000</v>
      </c>
      <c r="M60" s="299">
        <v>100000</v>
      </c>
      <c r="N60" s="301"/>
      <c r="O60" s="301"/>
      <c r="P60" s="301"/>
      <c r="Q60" s="301"/>
      <c r="R60" s="67"/>
      <c r="S60" s="67"/>
      <c r="T60" s="67"/>
      <c r="U60" s="67">
        <f>16600000+1500000</f>
        <v>18100000</v>
      </c>
      <c r="V60" s="9">
        <v>2.2999999999999998</v>
      </c>
      <c r="W60" s="19"/>
      <c r="X60" s="19"/>
      <c r="Y60" s="19">
        <v>13100000</v>
      </c>
      <c r="Z60" s="52"/>
      <c r="AA60" s="52"/>
      <c r="AB60" s="19" t="e">
        <f>#REF!-Y60</f>
        <v>#REF!</v>
      </c>
      <c r="AC60" s="19"/>
      <c r="AD60" s="19"/>
      <c r="AE60" s="19"/>
      <c r="AF60" s="19"/>
      <c r="AG60" s="19"/>
      <c r="AH60" s="19"/>
      <c r="AI60" s="14"/>
      <c r="AJ60" s="78"/>
      <c r="AK60" s="78">
        <v>2021</v>
      </c>
      <c r="AL60" s="85"/>
      <c r="AM60" s="84"/>
    </row>
    <row r="61" spans="1:39" s="66" customFormat="1" ht="49.5">
      <c r="A61" s="72" t="s">
        <v>875</v>
      </c>
      <c r="B61" s="72"/>
      <c r="C61" s="72"/>
      <c r="D61" s="72"/>
      <c r="E61" s="120"/>
      <c r="F61" s="120"/>
      <c r="G61" s="88" t="s">
        <v>29</v>
      </c>
      <c r="H61" s="88" t="s">
        <v>30</v>
      </c>
      <c r="I61" s="88" t="s">
        <v>31</v>
      </c>
      <c r="J61" s="89" t="s">
        <v>32</v>
      </c>
      <c r="K61" s="82" t="s">
        <v>1373</v>
      </c>
      <c r="L61" s="298">
        <f t="shared" si="21"/>
        <v>200000</v>
      </c>
      <c r="M61" s="299">
        <v>200000</v>
      </c>
      <c r="N61" s="301"/>
      <c r="O61" s="301"/>
      <c r="P61" s="301"/>
      <c r="Q61" s="301"/>
      <c r="R61" s="67"/>
      <c r="S61" s="67"/>
      <c r="T61" s="67"/>
      <c r="U61" s="67"/>
      <c r="V61" s="69"/>
      <c r="W61" s="67"/>
      <c r="X61" s="67"/>
      <c r="Y61" s="67"/>
      <c r="Z61" s="67"/>
      <c r="AA61" s="67"/>
      <c r="AB61" s="67"/>
      <c r="AC61" s="67"/>
      <c r="AD61" s="67"/>
      <c r="AE61" s="67"/>
      <c r="AF61" s="67"/>
      <c r="AG61" s="67"/>
      <c r="AH61" s="67"/>
      <c r="AI61" s="71"/>
      <c r="AJ61" s="78"/>
      <c r="AK61" s="78">
        <v>2021</v>
      </c>
      <c r="AL61" s="85"/>
      <c r="AM61" s="84"/>
    </row>
    <row r="62" spans="1:39" s="66" customFormat="1" ht="49.5">
      <c r="A62" s="72" t="s">
        <v>875</v>
      </c>
      <c r="B62" s="72"/>
      <c r="C62" s="72"/>
      <c r="D62" s="72"/>
      <c r="E62" s="120"/>
      <c r="F62" s="120"/>
      <c r="G62" s="88" t="s">
        <v>29</v>
      </c>
      <c r="H62" s="88" t="s">
        <v>30</v>
      </c>
      <c r="I62" s="88" t="s">
        <v>31</v>
      </c>
      <c r="J62" s="89" t="s">
        <v>32</v>
      </c>
      <c r="K62" s="82" t="s">
        <v>1374</v>
      </c>
      <c r="L62" s="298">
        <f t="shared" si="21"/>
        <v>500000</v>
      </c>
      <c r="M62" s="299">
        <v>500000</v>
      </c>
      <c r="N62" s="301"/>
      <c r="O62" s="301"/>
      <c r="P62" s="301"/>
      <c r="Q62" s="301"/>
      <c r="R62" s="67"/>
      <c r="S62" s="67"/>
      <c r="T62" s="67"/>
      <c r="U62" s="67"/>
      <c r="V62" s="69"/>
      <c r="W62" s="67"/>
      <c r="X62" s="67"/>
      <c r="Y62" s="67"/>
      <c r="Z62" s="67"/>
      <c r="AA62" s="67"/>
      <c r="AB62" s="67"/>
      <c r="AC62" s="67"/>
      <c r="AD62" s="67"/>
      <c r="AE62" s="67"/>
      <c r="AF62" s="67"/>
      <c r="AG62" s="67"/>
      <c r="AH62" s="67"/>
      <c r="AI62" s="71"/>
      <c r="AJ62" s="78"/>
      <c r="AK62" s="78">
        <v>2021</v>
      </c>
      <c r="AL62" s="85"/>
      <c r="AM62" s="84"/>
    </row>
    <row r="63" spans="1:39" s="66" customFormat="1" ht="49.5">
      <c r="A63" s="72" t="s">
        <v>875</v>
      </c>
      <c r="B63" s="72"/>
      <c r="C63" s="72"/>
      <c r="D63" s="72"/>
      <c r="E63" s="120"/>
      <c r="F63" s="120"/>
      <c r="G63" s="88" t="s">
        <v>29</v>
      </c>
      <c r="H63" s="88" t="s">
        <v>30</v>
      </c>
      <c r="I63" s="88" t="s">
        <v>31</v>
      </c>
      <c r="J63" s="89" t="s">
        <v>32</v>
      </c>
      <c r="K63" s="82" t="s">
        <v>1375</v>
      </c>
      <c r="L63" s="298">
        <f t="shared" si="21"/>
        <v>250000</v>
      </c>
      <c r="M63" s="299">
        <v>250000</v>
      </c>
      <c r="N63" s="301"/>
      <c r="O63" s="301"/>
      <c r="P63" s="301"/>
      <c r="Q63" s="301"/>
      <c r="R63" s="67"/>
      <c r="S63" s="67"/>
      <c r="T63" s="67"/>
      <c r="U63" s="67"/>
      <c r="V63" s="69"/>
      <c r="W63" s="67"/>
      <c r="X63" s="67"/>
      <c r="Y63" s="67"/>
      <c r="Z63" s="67"/>
      <c r="AA63" s="67"/>
      <c r="AB63" s="67"/>
      <c r="AC63" s="67"/>
      <c r="AD63" s="67"/>
      <c r="AE63" s="67"/>
      <c r="AF63" s="67"/>
      <c r="AG63" s="67"/>
      <c r="AH63" s="67"/>
      <c r="AI63" s="71"/>
      <c r="AJ63" s="78"/>
      <c r="AK63" s="78">
        <v>2021</v>
      </c>
      <c r="AL63" s="85"/>
      <c r="AM63" s="84"/>
    </row>
    <row r="64" spans="1:39" s="66" customFormat="1" ht="49.5">
      <c r="A64" s="72" t="s">
        <v>875</v>
      </c>
      <c r="B64" s="72"/>
      <c r="C64" s="72"/>
      <c r="D64" s="72"/>
      <c r="E64" s="120"/>
      <c r="F64" s="120"/>
      <c r="G64" s="88" t="s">
        <v>29</v>
      </c>
      <c r="H64" s="88" t="s">
        <v>30</v>
      </c>
      <c r="I64" s="88" t="s">
        <v>31</v>
      </c>
      <c r="J64" s="89" t="s">
        <v>32</v>
      </c>
      <c r="K64" s="82" t="s">
        <v>1376</v>
      </c>
      <c r="L64" s="298">
        <f t="shared" si="21"/>
        <v>300000</v>
      </c>
      <c r="M64" s="299">
        <v>300000</v>
      </c>
      <c r="N64" s="301"/>
      <c r="O64" s="301"/>
      <c r="P64" s="301"/>
      <c r="Q64" s="301"/>
      <c r="R64" s="67"/>
      <c r="S64" s="67"/>
      <c r="T64" s="67"/>
      <c r="U64" s="67"/>
      <c r="V64" s="69"/>
      <c r="W64" s="67"/>
      <c r="X64" s="67"/>
      <c r="Y64" s="67"/>
      <c r="Z64" s="67"/>
      <c r="AA64" s="67"/>
      <c r="AB64" s="67"/>
      <c r="AC64" s="67"/>
      <c r="AD64" s="67"/>
      <c r="AE64" s="67"/>
      <c r="AF64" s="67"/>
      <c r="AG64" s="67"/>
      <c r="AH64" s="67"/>
      <c r="AI64" s="71"/>
      <c r="AJ64" s="78"/>
      <c r="AK64" s="78">
        <v>2021</v>
      </c>
      <c r="AL64" s="85"/>
      <c r="AM64" s="84"/>
    </row>
    <row r="65" spans="1:40" s="198" customFormat="1">
      <c r="A65" s="193" t="s">
        <v>876</v>
      </c>
      <c r="B65" s="181" t="s">
        <v>193</v>
      </c>
      <c r="C65" s="181"/>
      <c r="D65" s="181"/>
      <c r="E65" s="182" t="s">
        <v>1225</v>
      </c>
      <c r="F65" s="182"/>
      <c r="G65" s="183" t="s">
        <v>44</v>
      </c>
      <c r="H65" s="183"/>
      <c r="I65" s="183"/>
      <c r="J65" s="184" t="s">
        <v>45</v>
      </c>
      <c r="K65" s="201"/>
      <c r="L65" s="287">
        <f t="shared" ref="L65:Q65" si="22">SUM(L67:L378)</f>
        <v>258602069.99999994</v>
      </c>
      <c r="M65" s="288">
        <f t="shared" si="22"/>
        <v>200000</v>
      </c>
      <c r="N65" s="289">
        <f t="shared" si="22"/>
        <v>255599999.99999994</v>
      </c>
      <c r="O65" s="289">
        <f t="shared" si="22"/>
        <v>2802070</v>
      </c>
      <c r="P65" s="289">
        <f t="shared" si="22"/>
        <v>0</v>
      </c>
      <c r="Q65" s="289">
        <f t="shared" si="22"/>
        <v>0</v>
      </c>
      <c r="R65" s="187">
        <f t="shared" ref="R65:R66" si="23">L65-M65-N65-O65-P65-Q65</f>
        <v>0</v>
      </c>
      <c r="S65" s="187">
        <f>SUM(S67:S378)</f>
        <v>32800000</v>
      </c>
      <c r="T65" s="187"/>
      <c r="U65" s="187">
        <f>SUM(U67:U378)</f>
        <v>222799999.99999997</v>
      </c>
      <c r="V65" s="187"/>
      <c r="W65" s="187"/>
      <c r="X65" s="187">
        <f>SUM(X68:X378)</f>
        <v>64706130.57000003</v>
      </c>
      <c r="Y65" s="187">
        <f>SUM(Y67:Y378)</f>
        <v>170943869.43000004</v>
      </c>
      <c r="Z65" s="187"/>
      <c r="AA65" s="187"/>
      <c r="AB65" s="187">
        <f>SUM(AB67:AB378)</f>
        <v>17102205.039999999</v>
      </c>
      <c r="AC65" s="187">
        <f>X65+Y65+AB65-N65</f>
        <v>-2847794.9599998891</v>
      </c>
      <c r="AD65" s="187">
        <f t="shared" ref="AD65:AI65" si="24">SUM(AD67:AD378)</f>
        <v>0</v>
      </c>
      <c r="AE65" s="187">
        <f t="shared" si="24"/>
        <v>0</v>
      </c>
      <c r="AF65" s="187">
        <f t="shared" si="24"/>
        <v>0</v>
      </c>
      <c r="AG65" s="187">
        <f t="shared" si="24"/>
        <v>0</v>
      </c>
      <c r="AH65" s="187">
        <f t="shared" si="24"/>
        <v>0</v>
      </c>
      <c r="AI65" s="187">
        <f t="shared" si="24"/>
        <v>0</v>
      </c>
      <c r="AJ65" s="187"/>
      <c r="AK65" s="185"/>
      <c r="AL65" s="196"/>
      <c r="AM65" s="197"/>
      <c r="AN65" s="187" t="e">
        <f>SUM(#REF!)</f>
        <v>#REF!</v>
      </c>
    </row>
    <row r="66" spans="1:40" s="198" customFormat="1">
      <c r="A66" s="193" t="s">
        <v>876</v>
      </c>
      <c r="B66" s="193"/>
      <c r="C66" s="193"/>
      <c r="D66" s="193"/>
      <c r="E66" s="182" t="s">
        <v>1225</v>
      </c>
      <c r="F66" s="182"/>
      <c r="G66" s="183" t="s">
        <v>46</v>
      </c>
      <c r="H66" s="183"/>
      <c r="I66" s="183"/>
      <c r="J66" s="190" t="s">
        <v>45</v>
      </c>
      <c r="K66" s="201"/>
      <c r="L66" s="290"/>
      <c r="M66" s="291"/>
      <c r="N66" s="297"/>
      <c r="O66" s="297"/>
      <c r="P66" s="297"/>
      <c r="Q66" s="297"/>
      <c r="R66" s="187">
        <f t="shared" si="23"/>
        <v>0</v>
      </c>
      <c r="S66" s="199"/>
      <c r="T66" s="199"/>
      <c r="U66" s="199"/>
      <c r="V66" s="200"/>
      <c r="W66" s="199"/>
      <c r="X66" s="199"/>
      <c r="Y66" s="199"/>
      <c r="Z66" s="199"/>
      <c r="AA66" s="199"/>
      <c r="AB66" s="199"/>
      <c r="AC66" s="187">
        <f>X66+Y66+AB66-N66</f>
        <v>0</v>
      </c>
      <c r="AD66" s="199"/>
      <c r="AE66" s="199"/>
      <c r="AF66" s="199"/>
      <c r="AG66" s="199"/>
      <c r="AH66" s="199"/>
      <c r="AI66" s="195"/>
      <c r="AJ66" s="199"/>
      <c r="AK66" s="185"/>
      <c r="AL66" s="196"/>
      <c r="AM66" s="197"/>
    </row>
    <row r="67" spans="1:40" s="27" customFormat="1" ht="49.5">
      <c r="A67" s="34" t="s">
        <v>876</v>
      </c>
      <c r="B67" s="34"/>
      <c r="C67" s="72" t="s">
        <v>1181</v>
      </c>
      <c r="D67" s="72"/>
      <c r="E67" s="120" t="s">
        <v>902</v>
      </c>
      <c r="F67" s="120"/>
      <c r="G67" s="132" t="s">
        <v>436</v>
      </c>
      <c r="H67" s="132" t="s">
        <v>437</v>
      </c>
      <c r="I67" s="132" t="s">
        <v>298</v>
      </c>
      <c r="J67" s="133" t="s">
        <v>438</v>
      </c>
      <c r="K67" s="134" t="s">
        <v>1078</v>
      </c>
      <c r="L67" s="307">
        <f t="shared" ref="L67:L130" si="25">SUM(M67:Q67)</f>
        <v>100000</v>
      </c>
      <c r="M67" s="308"/>
      <c r="N67" s="308">
        <v>100000</v>
      </c>
      <c r="O67" s="285"/>
      <c r="P67" s="285"/>
      <c r="Q67" s="285"/>
      <c r="R67" s="85"/>
      <c r="S67" s="70">
        <f t="shared" ref="S67:S102" si="26">N67-U67</f>
        <v>0</v>
      </c>
      <c r="T67" s="70"/>
      <c r="U67" s="70">
        <v>100000</v>
      </c>
      <c r="V67" s="9" t="s">
        <v>521</v>
      </c>
      <c r="W67" s="19"/>
      <c r="X67" s="72"/>
      <c r="Y67" s="19"/>
      <c r="Z67" s="52">
        <v>94300000</v>
      </c>
      <c r="AA67" s="52">
        <v>2000000</v>
      </c>
      <c r="AB67" s="19"/>
      <c r="AC67" s="65">
        <f>X68+Y67+AB67-N67</f>
        <v>364845</v>
      </c>
      <c r="AD67" s="19"/>
      <c r="AE67" s="19"/>
      <c r="AF67" s="19"/>
      <c r="AG67" s="19"/>
      <c r="AH67" s="19"/>
      <c r="AI67" s="14"/>
      <c r="AJ67" s="136"/>
      <c r="AK67" s="135">
        <v>2021</v>
      </c>
      <c r="AL67" s="136">
        <v>300000</v>
      </c>
      <c r="AM67" s="137"/>
    </row>
    <row r="68" spans="1:40" s="27" customFormat="1" ht="49.5">
      <c r="A68" s="34" t="s">
        <v>876</v>
      </c>
      <c r="B68" s="34"/>
      <c r="C68" s="72" t="s">
        <v>1181</v>
      </c>
      <c r="D68" s="72"/>
      <c r="E68" s="120" t="s">
        <v>1226</v>
      </c>
      <c r="F68" s="120"/>
      <c r="G68" s="132" t="s">
        <v>436</v>
      </c>
      <c r="H68" s="132" t="s">
        <v>437</v>
      </c>
      <c r="I68" s="132" t="s">
        <v>298</v>
      </c>
      <c r="J68" s="133" t="s">
        <v>438</v>
      </c>
      <c r="K68" s="134" t="s">
        <v>588</v>
      </c>
      <c r="L68" s="307">
        <f t="shared" si="25"/>
        <v>464845</v>
      </c>
      <c r="M68" s="308"/>
      <c r="N68" s="308">
        <v>464845</v>
      </c>
      <c r="O68" s="286"/>
      <c r="P68" s="286"/>
      <c r="Q68" s="286"/>
      <c r="R68" s="78"/>
      <c r="S68" s="70">
        <f t="shared" si="26"/>
        <v>0</v>
      </c>
      <c r="T68" s="70"/>
      <c r="U68" s="70">
        <v>464845</v>
      </c>
      <c r="V68" s="9" t="s">
        <v>521</v>
      </c>
      <c r="W68" s="19"/>
      <c r="X68" s="19">
        <v>464845</v>
      </c>
      <c r="Y68" s="19"/>
      <c r="Z68" s="52"/>
      <c r="AA68" s="52"/>
      <c r="AB68" s="19"/>
      <c r="AC68" s="65">
        <f>X69+Y68+AB68-N68</f>
        <v>-415855</v>
      </c>
      <c r="AD68" s="19"/>
      <c r="AE68" s="19"/>
      <c r="AF68" s="19"/>
      <c r="AG68" s="19"/>
      <c r="AH68" s="19"/>
      <c r="AI68" s="14"/>
      <c r="AJ68" s="135"/>
      <c r="AK68" s="135" t="s">
        <v>271</v>
      </c>
      <c r="AL68" s="136">
        <v>500000</v>
      </c>
      <c r="AM68" s="137"/>
    </row>
    <row r="69" spans="1:40" s="27" customFormat="1" ht="49.5">
      <c r="A69" s="34" t="s">
        <v>876</v>
      </c>
      <c r="B69" s="34"/>
      <c r="C69" s="72" t="s">
        <v>1181</v>
      </c>
      <c r="D69" s="72"/>
      <c r="E69" s="120" t="s">
        <v>1227</v>
      </c>
      <c r="F69" s="120"/>
      <c r="G69" s="132" t="s">
        <v>436</v>
      </c>
      <c r="H69" s="132" t="s">
        <v>437</v>
      </c>
      <c r="I69" s="132" t="s">
        <v>298</v>
      </c>
      <c r="J69" s="133" t="s">
        <v>438</v>
      </c>
      <c r="K69" s="134" t="s">
        <v>589</v>
      </c>
      <c r="L69" s="307">
        <f t="shared" si="25"/>
        <v>48990</v>
      </c>
      <c r="M69" s="308"/>
      <c r="N69" s="308">
        <v>48990</v>
      </c>
      <c r="O69" s="286"/>
      <c r="P69" s="286"/>
      <c r="Q69" s="286"/>
      <c r="R69" s="78"/>
      <c r="S69" s="70">
        <f t="shared" si="26"/>
        <v>0</v>
      </c>
      <c r="T69" s="70"/>
      <c r="U69" s="70">
        <v>48990</v>
      </c>
      <c r="V69" s="9" t="s">
        <v>521</v>
      </c>
      <c r="W69" s="19"/>
      <c r="X69" s="19">
        <v>48990</v>
      </c>
      <c r="Y69" s="19"/>
      <c r="Z69" s="52"/>
      <c r="AA69" s="52"/>
      <c r="AB69" s="19"/>
      <c r="AC69" s="65">
        <f>X70+Y69+AB69-N69</f>
        <v>9320</v>
      </c>
      <c r="AD69" s="19"/>
      <c r="AE69" s="19"/>
      <c r="AF69" s="19"/>
      <c r="AG69" s="19"/>
      <c r="AH69" s="19"/>
      <c r="AI69" s="14"/>
      <c r="AJ69" s="135"/>
      <c r="AK69" s="135" t="s">
        <v>271</v>
      </c>
      <c r="AL69" s="136">
        <v>50000</v>
      </c>
      <c r="AM69" s="137"/>
    </row>
    <row r="70" spans="1:40" s="27" customFormat="1" ht="49.5">
      <c r="A70" s="34" t="s">
        <v>876</v>
      </c>
      <c r="B70" s="34"/>
      <c r="C70" s="72" t="s">
        <v>1181</v>
      </c>
      <c r="D70" s="72"/>
      <c r="E70" s="120" t="s">
        <v>1228</v>
      </c>
      <c r="F70" s="120"/>
      <c r="G70" s="132" t="s">
        <v>436</v>
      </c>
      <c r="H70" s="132" t="s">
        <v>437</v>
      </c>
      <c r="I70" s="132" t="s">
        <v>298</v>
      </c>
      <c r="J70" s="133" t="s">
        <v>438</v>
      </c>
      <c r="K70" s="134" t="s">
        <v>590</v>
      </c>
      <c r="L70" s="307">
        <f t="shared" si="25"/>
        <v>58310</v>
      </c>
      <c r="M70" s="308"/>
      <c r="N70" s="308">
        <v>58310</v>
      </c>
      <c r="O70" s="286"/>
      <c r="P70" s="286"/>
      <c r="Q70" s="286"/>
      <c r="R70" s="78"/>
      <c r="S70" s="70">
        <f t="shared" si="26"/>
        <v>0</v>
      </c>
      <c r="T70" s="70"/>
      <c r="U70" s="70">
        <v>58310</v>
      </c>
      <c r="V70" s="9" t="s">
        <v>756</v>
      </c>
      <c r="W70" s="19" t="s">
        <v>273</v>
      </c>
      <c r="X70" s="19">
        <v>58310</v>
      </c>
      <c r="Y70" s="19"/>
      <c r="Z70" s="52"/>
      <c r="AA70" s="52"/>
      <c r="AB70" s="19">
        <v>300000</v>
      </c>
      <c r="AC70" s="65" t="e">
        <f>#REF!+Y70+AB70-N70</f>
        <v>#REF!</v>
      </c>
      <c r="AD70" s="19"/>
      <c r="AE70" s="19"/>
      <c r="AF70" s="19"/>
      <c r="AG70" s="19"/>
      <c r="AH70" s="19"/>
      <c r="AI70" s="14"/>
      <c r="AJ70" s="135"/>
      <c r="AK70" s="135" t="s">
        <v>271</v>
      </c>
      <c r="AL70" s="136">
        <v>60000</v>
      </c>
      <c r="AM70" s="137"/>
    </row>
    <row r="71" spans="1:40" s="27" customFormat="1" ht="49.5">
      <c r="A71" s="34" t="s">
        <v>876</v>
      </c>
      <c r="B71" s="34"/>
      <c r="C71" s="72" t="s">
        <v>1181</v>
      </c>
      <c r="D71" s="72"/>
      <c r="E71" s="120" t="s">
        <v>904</v>
      </c>
      <c r="F71" s="120"/>
      <c r="G71" s="132" t="s">
        <v>414</v>
      </c>
      <c r="H71" s="132" t="s">
        <v>415</v>
      </c>
      <c r="I71" s="132" t="s">
        <v>416</v>
      </c>
      <c r="J71" s="133" t="s">
        <v>417</v>
      </c>
      <c r="K71" s="134" t="s">
        <v>564</v>
      </c>
      <c r="L71" s="307">
        <f t="shared" si="25"/>
        <v>300000</v>
      </c>
      <c r="M71" s="308"/>
      <c r="N71" s="308">
        <v>300000</v>
      </c>
      <c r="O71" s="286"/>
      <c r="P71" s="286"/>
      <c r="Q71" s="286"/>
      <c r="R71" s="78"/>
      <c r="S71" s="70">
        <f t="shared" si="26"/>
        <v>0</v>
      </c>
      <c r="T71" s="70"/>
      <c r="U71" s="70">
        <v>300000</v>
      </c>
      <c r="V71" s="9" t="s">
        <v>756</v>
      </c>
      <c r="W71" s="19" t="s">
        <v>273</v>
      </c>
      <c r="X71" s="19"/>
      <c r="Y71" s="19"/>
      <c r="Z71" s="52"/>
      <c r="AA71" s="52"/>
      <c r="AB71" s="19">
        <v>300000</v>
      </c>
      <c r="AC71" s="65">
        <f t="shared" ref="AC71:AC90" si="27">X71+Y71+AB71-N71</f>
        <v>0</v>
      </c>
      <c r="AD71" s="19"/>
      <c r="AE71" s="19"/>
      <c r="AF71" s="19"/>
      <c r="AG71" s="19"/>
      <c r="AH71" s="19"/>
      <c r="AI71" s="14"/>
      <c r="AJ71" s="135"/>
      <c r="AK71" s="135">
        <v>2021</v>
      </c>
      <c r="AL71" s="136">
        <v>300000</v>
      </c>
      <c r="AM71" s="137"/>
    </row>
    <row r="72" spans="1:40" s="27" customFormat="1" ht="66">
      <c r="A72" s="34" t="s">
        <v>876</v>
      </c>
      <c r="B72" s="34"/>
      <c r="C72" s="72" t="s">
        <v>1181</v>
      </c>
      <c r="D72" s="72"/>
      <c r="E72" s="120" t="s">
        <v>904</v>
      </c>
      <c r="F72" s="120"/>
      <c r="G72" s="132" t="s">
        <v>414</v>
      </c>
      <c r="H72" s="132" t="s">
        <v>415</v>
      </c>
      <c r="I72" s="132" t="s">
        <v>416</v>
      </c>
      <c r="J72" s="133" t="s">
        <v>417</v>
      </c>
      <c r="K72" s="134" t="s">
        <v>1307</v>
      </c>
      <c r="L72" s="307">
        <f t="shared" si="25"/>
        <v>300000</v>
      </c>
      <c r="M72" s="308"/>
      <c r="N72" s="308">
        <v>300000</v>
      </c>
      <c r="O72" s="286"/>
      <c r="P72" s="286"/>
      <c r="Q72" s="286"/>
      <c r="R72" s="78"/>
      <c r="S72" s="70">
        <f t="shared" si="26"/>
        <v>0</v>
      </c>
      <c r="T72" s="70"/>
      <c r="U72" s="70">
        <v>300000</v>
      </c>
      <c r="V72" s="9" t="s">
        <v>756</v>
      </c>
      <c r="W72" s="19" t="s">
        <v>273</v>
      </c>
      <c r="X72" s="19"/>
      <c r="Y72" s="19"/>
      <c r="Z72" s="52"/>
      <c r="AA72" s="52"/>
      <c r="AB72" s="19">
        <v>300000</v>
      </c>
      <c r="AC72" s="65">
        <f t="shared" si="27"/>
        <v>0</v>
      </c>
      <c r="AD72" s="19"/>
      <c r="AE72" s="19"/>
      <c r="AF72" s="19"/>
      <c r="AG72" s="19"/>
      <c r="AH72" s="19"/>
      <c r="AI72" s="14"/>
      <c r="AJ72" s="135"/>
      <c r="AK72" s="135">
        <v>2021</v>
      </c>
      <c r="AL72" s="136">
        <v>300000</v>
      </c>
      <c r="AM72" s="137"/>
    </row>
    <row r="73" spans="1:40" s="27" customFormat="1" ht="49.5">
      <c r="A73" s="34" t="s">
        <v>876</v>
      </c>
      <c r="B73" s="72"/>
      <c r="C73" s="72" t="s">
        <v>1181</v>
      </c>
      <c r="D73" s="72"/>
      <c r="E73" s="120" t="s">
        <v>904</v>
      </c>
      <c r="F73" s="120"/>
      <c r="G73" s="132" t="s">
        <v>414</v>
      </c>
      <c r="H73" s="132" t="s">
        <v>415</v>
      </c>
      <c r="I73" s="132" t="s">
        <v>416</v>
      </c>
      <c r="J73" s="133" t="s">
        <v>417</v>
      </c>
      <c r="K73" s="134" t="s">
        <v>805</v>
      </c>
      <c r="L73" s="307">
        <f t="shared" si="25"/>
        <v>300000</v>
      </c>
      <c r="M73" s="308"/>
      <c r="N73" s="308">
        <v>300000</v>
      </c>
      <c r="O73" s="286"/>
      <c r="P73" s="286"/>
      <c r="Q73" s="286"/>
      <c r="R73" s="78"/>
      <c r="S73" s="70">
        <f t="shared" si="26"/>
        <v>0</v>
      </c>
      <c r="T73" s="70"/>
      <c r="U73" s="70">
        <v>300000</v>
      </c>
      <c r="V73" s="69" t="s">
        <v>756</v>
      </c>
      <c r="W73" s="67" t="s">
        <v>273</v>
      </c>
      <c r="X73" s="67"/>
      <c r="Y73" s="67"/>
      <c r="Z73" s="67"/>
      <c r="AA73" s="67"/>
      <c r="AB73" s="67">
        <v>300000</v>
      </c>
      <c r="AC73" s="24">
        <f t="shared" si="27"/>
        <v>0</v>
      </c>
      <c r="AD73" s="67"/>
      <c r="AE73" s="67"/>
      <c r="AF73" s="67"/>
      <c r="AG73" s="67"/>
      <c r="AH73" s="67"/>
      <c r="AI73" s="71"/>
      <c r="AJ73" s="135"/>
      <c r="AK73" s="135">
        <v>2021</v>
      </c>
      <c r="AL73" s="136">
        <v>300000</v>
      </c>
      <c r="AM73" s="137"/>
    </row>
    <row r="74" spans="1:40" s="27" customFormat="1" ht="49.5">
      <c r="A74" s="34" t="s">
        <v>876</v>
      </c>
      <c r="B74" s="34"/>
      <c r="C74" s="72" t="s">
        <v>1181</v>
      </c>
      <c r="D74" s="72"/>
      <c r="E74" s="120" t="s">
        <v>901</v>
      </c>
      <c r="F74" s="120"/>
      <c r="G74" s="132" t="s">
        <v>414</v>
      </c>
      <c r="H74" s="132" t="s">
        <v>415</v>
      </c>
      <c r="I74" s="132" t="s">
        <v>416</v>
      </c>
      <c r="J74" s="133" t="s">
        <v>417</v>
      </c>
      <c r="K74" s="134" t="s">
        <v>806</v>
      </c>
      <c r="L74" s="307">
        <f t="shared" si="25"/>
        <v>300000</v>
      </c>
      <c r="M74" s="308"/>
      <c r="N74" s="308">
        <v>300000</v>
      </c>
      <c r="O74" s="286"/>
      <c r="P74" s="286"/>
      <c r="Q74" s="286"/>
      <c r="R74" s="78"/>
      <c r="S74" s="70">
        <f t="shared" si="26"/>
        <v>0</v>
      </c>
      <c r="T74" s="70"/>
      <c r="U74" s="70">
        <v>300000</v>
      </c>
      <c r="V74" s="9" t="s">
        <v>756</v>
      </c>
      <c r="W74" s="19" t="s">
        <v>273</v>
      </c>
      <c r="X74" s="19"/>
      <c r="Y74" s="19"/>
      <c r="Z74" s="52"/>
      <c r="AA74" s="52"/>
      <c r="AB74" s="19">
        <v>300000</v>
      </c>
      <c r="AC74" s="24">
        <f t="shared" si="27"/>
        <v>0</v>
      </c>
      <c r="AD74" s="19"/>
      <c r="AE74" s="19"/>
      <c r="AF74" s="19"/>
      <c r="AG74" s="19"/>
      <c r="AH74" s="19"/>
      <c r="AI74" s="14"/>
      <c r="AJ74" s="135"/>
      <c r="AK74" s="135">
        <v>2021</v>
      </c>
      <c r="AL74" s="136">
        <v>300000</v>
      </c>
      <c r="AM74" s="137"/>
    </row>
    <row r="75" spans="1:40" s="27" customFormat="1" ht="49.5">
      <c r="A75" s="34" t="s">
        <v>876</v>
      </c>
      <c r="B75" s="34"/>
      <c r="C75" s="72" t="s">
        <v>1181</v>
      </c>
      <c r="D75" s="72"/>
      <c r="E75" s="120" t="s">
        <v>1229</v>
      </c>
      <c r="F75" s="120"/>
      <c r="G75" s="132" t="s">
        <v>414</v>
      </c>
      <c r="H75" s="132" t="s">
        <v>415</v>
      </c>
      <c r="I75" s="132" t="s">
        <v>416</v>
      </c>
      <c r="J75" s="133" t="s">
        <v>417</v>
      </c>
      <c r="K75" s="134" t="s">
        <v>565</v>
      </c>
      <c r="L75" s="307">
        <f t="shared" si="25"/>
        <v>300000</v>
      </c>
      <c r="M75" s="308"/>
      <c r="N75" s="308">
        <v>300000</v>
      </c>
      <c r="O75" s="286"/>
      <c r="P75" s="286"/>
      <c r="Q75" s="286"/>
      <c r="R75" s="78"/>
      <c r="S75" s="70">
        <f t="shared" si="26"/>
        <v>0</v>
      </c>
      <c r="T75" s="70"/>
      <c r="U75" s="70">
        <v>300000</v>
      </c>
      <c r="V75" s="9" t="s">
        <v>756</v>
      </c>
      <c r="W75" s="19" t="s">
        <v>273</v>
      </c>
      <c r="X75" s="67"/>
      <c r="Y75" s="19"/>
      <c r="Z75" s="52"/>
      <c r="AA75" s="52"/>
      <c r="AB75" s="19">
        <v>300000</v>
      </c>
      <c r="AC75" s="24">
        <f t="shared" si="27"/>
        <v>0</v>
      </c>
      <c r="AD75" s="19"/>
      <c r="AE75" s="19"/>
      <c r="AF75" s="19"/>
      <c r="AG75" s="19"/>
      <c r="AH75" s="19"/>
      <c r="AI75" s="14"/>
      <c r="AJ75" s="135"/>
      <c r="AK75" s="135">
        <v>2021</v>
      </c>
      <c r="AL75" s="136">
        <v>300000</v>
      </c>
      <c r="AM75" s="137"/>
    </row>
    <row r="76" spans="1:40" s="27" customFormat="1" ht="49.5">
      <c r="A76" s="34" t="s">
        <v>876</v>
      </c>
      <c r="B76" s="34"/>
      <c r="C76" s="72" t="s">
        <v>1181</v>
      </c>
      <c r="D76" s="72"/>
      <c r="E76" s="120" t="s">
        <v>1229</v>
      </c>
      <c r="F76" s="120"/>
      <c r="G76" s="132" t="s">
        <v>414</v>
      </c>
      <c r="H76" s="132" t="s">
        <v>415</v>
      </c>
      <c r="I76" s="132" t="s">
        <v>416</v>
      </c>
      <c r="J76" s="133" t="s">
        <v>417</v>
      </c>
      <c r="K76" s="134" t="s">
        <v>985</v>
      </c>
      <c r="L76" s="307">
        <f t="shared" si="25"/>
        <v>300000</v>
      </c>
      <c r="M76" s="308"/>
      <c r="N76" s="308">
        <v>300000</v>
      </c>
      <c r="O76" s="286"/>
      <c r="P76" s="286"/>
      <c r="Q76" s="286"/>
      <c r="R76" s="78"/>
      <c r="S76" s="70">
        <f t="shared" si="26"/>
        <v>0</v>
      </c>
      <c r="T76" s="70"/>
      <c r="U76" s="70">
        <v>300000</v>
      </c>
      <c r="V76" s="9" t="s">
        <v>756</v>
      </c>
      <c r="W76" s="19" t="s">
        <v>273</v>
      </c>
      <c r="X76" s="19"/>
      <c r="Y76" s="19"/>
      <c r="Z76" s="52"/>
      <c r="AA76" s="52"/>
      <c r="AB76" s="19">
        <v>300000</v>
      </c>
      <c r="AC76" s="24">
        <f t="shared" si="27"/>
        <v>0</v>
      </c>
      <c r="AD76" s="19"/>
      <c r="AE76" s="19"/>
      <c r="AF76" s="19"/>
      <c r="AG76" s="19"/>
      <c r="AH76" s="19"/>
      <c r="AI76" s="14"/>
      <c r="AJ76" s="135"/>
      <c r="AK76" s="135">
        <v>2021</v>
      </c>
      <c r="AL76" s="136">
        <v>300000</v>
      </c>
      <c r="AM76" s="137"/>
    </row>
    <row r="77" spans="1:40" s="27" customFormat="1" ht="49.5">
      <c r="A77" s="34" t="s">
        <v>876</v>
      </c>
      <c r="B77" s="34"/>
      <c r="C77" s="72" t="s">
        <v>1181</v>
      </c>
      <c r="D77" s="72"/>
      <c r="E77" s="120" t="s">
        <v>901</v>
      </c>
      <c r="F77" s="120"/>
      <c r="G77" s="132" t="s">
        <v>414</v>
      </c>
      <c r="H77" s="132" t="s">
        <v>415</v>
      </c>
      <c r="I77" s="132" t="s">
        <v>416</v>
      </c>
      <c r="J77" s="133" t="s">
        <v>417</v>
      </c>
      <c r="K77" s="134" t="s">
        <v>986</v>
      </c>
      <c r="L77" s="307">
        <f t="shared" si="25"/>
        <v>300000</v>
      </c>
      <c r="M77" s="308"/>
      <c r="N77" s="308">
        <v>300000</v>
      </c>
      <c r="O77" s="286"/>
      <c r="P77" s="286"/>
      <c r="Q77" s="286"/>
      <c r="R77" s="78"/>
      <c r="S77" s="70">
        <f t="shared" si="26"/>
        <v>0</v>
      </c>
      <c r="T77" s="70"/>
      <c r="U77" s="70">
        <v>300000</v>
      </c>
      <c r="V77" s="9" t="s">
        <v>756</v>
      </c>
      <c r="W77" s="19" t="s">
        <v>273</v>
      </c>
      <c r="X77" s="19"/>
      <c r="Y77" s="19"/>
      <c r="Z77" s="52"/>
      <c r="AA77" s="52"/>
      <c r="AB77" s="19">
        <v>300000</v>
      </c>
      <c r="AC77" s="24">
        <f t="shared" si="27"/>
        <v>0</v>
      </c>
      <c r="AD77" s="19"/>
      <c r="AE77" s="19"/>
      <c r="AF77" s="19"/>
      <c r="AG77" s="19"/>
      <c r="AH77" s="19"/>
      <c r="AI77" s="14"/>
      <c r="AJ77" s="135"/>
      <c r="AK77" s="135">
        <v>2021</v>
      </c>
      <c r="AL77" s="136">
        <v>300000</v>
      </c>
      <c r="AM77" s="137"/>
    </row>
    <row r="78" spans="1:40" s="27" customFormat="1" ht="49.5">
      <c r="A78" s="34" t="s">
        <v>876</v>
      </c>
      <c r="B78" s="34"/>
      <c r="C78" s="72" t="s">
        <v>1181</v>
      </c>
      <c r="D78" s="72"/>
      <c r="E78" s="120" t="s">
        <v>904</v>
      </c>
      <c r="F78" s="120"/>
      <c r="G78" s="132" t="s">
        <v>414</v>
      </c>
      <c r="H78" s="132" t="s">
        <v>415</v>
      </c>
      <c r="I78" s="132" t="s">
        <v>416</v>
      </c>
      <c r="J78" s="133" t="s">
        <v>417</v>
      </c>
      <c r="K78" s="134" t="s">
        <v>1244</v>
      </c>
      <c r="L78" s="307">
        <f t="shared" si="25"/>
        <v>300000</v>
      </c>
      <c r="M78" s="308"/>
      <c r="N78" s="308">
        <v>300000</v>
      </c>
      <c r="O78" s="286"/>
      <c r="P78" s="286"/>
      <c r="Q78" s="286"/>
      <c r="R78" s="78"/>
      <c r="S78" s="70">
        <f t="shared" si="26"/>
        <v>0</v>
      </c>
      <c r="T78" s="70"/>
      <c r="U78" s="70">
        <v>300000</v>
      </c>
      <c r="V78" s="9" t="s">
        <v>756</v>
      </c>
      <c r="W78" s="19" t="s">
        <v>273</v>
      </c>
      <c r="X78" s="19"/>
      <c r="Y78" s="19"/>
      <c r="Z78" s="52"/>
      <c r="AA78" s="52"/>
      <c r="AB78" s="19">
        <v>300000</v>
      </c>
      <c r="AC78" s="24">
        <f t="shared" si="27"/>
        <v>0</v>
      </c>
      <c r="AD78" s="19"/>
      <c r="AE78" s="19"/>
      <c r="AF78" s="19"/>
      <c r="AG78" s="19"/>
      <c r="AH78" s="19"/>
      <c r="AI78" s="14"/>
      <c r="AJ78" s="135"/>
      <c r="AK78" s="135">
        <v>2021</v>
      </c>
      <c r="AL78" s="136">
        <v>300000</v>
      </c>
      <c r="AM78" s="137"/>
    </row>
    <row r="79" spans="1:40" s="27" customFormat="1" ht="33">
      <c r="A79" s="34" t="s">
        <v>876</v>
      </c>
      <c r="B79" s="34"/>
      <c r="C79" s="72" t="s">
        <v>1181</v>
      </c>
      <c r="D79" s="72"/>
      <c r="E79" s="120" t="s">
        <v>903</v>
      </c>
      <c r="F79" s="120"/>
      <c r="G79" s="132" t="s">
        <v>414</v>
      </c>
      <c r="H79" s="132" t="s">
        <v>415</v>
      </c>
      <c r="I79" s="132" t="s">
        <v>416</v>
      </c>
      <c r="J79" s="133" t="s">
        <v>417</v>
      </c>
      <c r="K79" s="134" t="s">
        <v>807</v>
      </c>
      <c r="L79" s="307">
        <f t="shared" si="25"/>
        <v>300000</v>
      </c>
      <c r="M79" s="308"/>
      <c r="N79" s="308">
        <v>300000</v>
      </c>
      <c r="O79" s="286"/>
      <c r="P79" s="286"/>
      <c r="Q79" s="286"/>
      <c r="R79" s="78"/>
      <c r="S79" s="70">
        <f t="shared" si="26"/>
        <v>0</v>
      </c>
      <c r="T79" s="70"/>
      <c r="U79" s="70">
        <v>300000</v>
      </c>
      <c r="V79" s="9" t="s">
        <v>756</v>
      </c>
      <c r="W79" s="19" t="s">
        <v>273</v>
      </c>
      <c r="X79" s="19"/>
      <c r="Y79" s="19"/>
      <c r="Z79" s="52"/>
      <c r="AA79" s="52"/>
      <c r="AB79" s="19">
        <v>300000</v>
      </c>
      <c r="AC79" s="24">
        <f t="shared" si="27"/>
        <v>0</v>
      </c>
      <c r="AD79" s="19"/>
      <c r="AE79" s="19"/>
      <c r="AF79" s="19"/>
      <c r="AG79" s="19"/>
      <c r="AH79" s="19"/>
      <c r="AI79" s="14"/>
      <c r="AJ79" s="135"/>
      <c r="AK79" s="135">
        <v>2021</v>
      </c>
      <c r="AL79" s="136">
        <v>300000</v>
      </c>
      <c r="AM79" s="137"/>
    </row>
    <row r="80" spans="1:40" s="27" customFormat="1" ht="33">
      <c r="A80" s="34" t="s">
        <v>876</v>
      </c>
      <c r="B80" s="34"/>
      <c r="C80" s="72" t="s">
        <v>1181</v>
      </c>
      <c r="D80" s="72"/>
      <c r="E80" s="120" t="s">
        <v>903</v>
      </c>
      <c r="F80" s="120"/>
      <c r="G80" s="132" t="s">
        <v>414</v>
      </c>
      <c r="H80" s="132" t="s">
        <v>415</v>
      </c>
      <c r="I80" s="132" t="s">
        <v>416</v>
      </c>
      <c r="J80" s="133" t="s">
        <v>417</v>
      </c>
      <c r="K80" s="134" t="s">
        <v>928</v>
      </c>
      <c r="L80" s="307">
        <f t="shared" si="25"/>
        <v>300000</v>
      </c>
      <c r="M80" s="308"/>
      <c r="N80" s="308">
        <v>300000</v>
      </c>
      <c r="O80" s="286"/>
      <c r="P80" s="286"/>
      <c r="Q80" s="286"/>
      <c r="R80" s="78"/>
      <c r="S80" s="70">
        <f t="shared" si="26"/>
        <v>0</v>
      </c>
      <c r="T80" s="70"/>
      <c r="U80" s="70">
        <v>300000</v>
      </c>
      <c r="V80" s="9" t="s">
        <v>756</v>
      </c>
      <c r="W80" s="19" t="s">
        <v>273</v>
      </c>
      <c r="X80" s="19"/>
      <c r="Y80" s="19"/>
      <c r="Z80" s="52"/>
      <c r="AA80" s="52"/>
      <c r="AB80" s="19">
        <v>300000</v>
      </c>
      <c r="AC80" s="24">
        <f t="shared" si="27"/>
        <v>0</v>
      </c>
      <c r="AD80" s="19"/>
      <c r="AE80" s="19"/>
      <c r="AF80" s="19"/>
      <c r="AG80" s="19"/>
      <c r="AH80" s="19"/>
      <c r="AI80" s="14"/>
      <c r="AJ80" s="135"/>
      <c r="AK80" s="135">
        <v>2021</v>
      </c>
      <c r="AL80" s="136">
        <v>300000</v>
      </c>
      <c r="AM80" s="137"/>
    </row>
    <row r="81" spans="1:39" s="27" customFormat="1" ht="33">
      <c r="A81" s="34" t="s">
        <v>876</v>
      </c>
      <c r="B81" s="34"/>
      <c r="C81" s="72" t="s">
        <v>1181</v>
      </c>
      <c r="D81" s="72"/>
      <c r="E81" s="120" t="s">
        <v>903</v>
      </c>
      <c r="F81" s="120"/>
      <c r="G81" s="132" t="s">
        <v>414</v>
      </c>
      <c r="H81" s="132" t="s">
        <v>415</v>
      </c>
      <c r="I81" s="132" t="s">
        <v>416</v>
      </c>
      <c r="J81" s="133" t="s">
        <v>417</v>
      </c>
      <c r="K81" s="134" t="s">
        <v>808</v>
      </c>
      <c r="L81" s="307">
        <f t="shared" si="25"/>
        <v>300000</v>
      </c>
      <c r="M81" s="308"/>
      <c r="N81" s="308">
        <v>300000</v>
      </c>
      <c r="O81" s="286"/>
      <c r="P81" s="286"/>
      <c r="Q81" s="286"/>
      <c r="R81" s="78"/>
      <c r="S81" s="70">
        <f t="shared" si="26"/>
        <v>0</v>
      </c>
      <c r="T81" s="70"/>
      <c r="U81" s="70">
        <v>300000</v>
      </c>
      <c r="V81" s="9" t="s">
        <v>756</v>
      </c>
      <c r="W81" s="19" t="s">
        <v>273</v>
      </c>
      <c r="X81" s="19"/>
      <c r="Y81" s="19"/>
      <c r="Z81" s="52"/>
      <c r="AA81" s="52"/>
      <c r="AB81" s="19">
        <v>300000</v>
      </c>
      <c r="AC81" s="24">
        <f t="shared" si="27"/>
        <v>0</v>
      </c>
      <c r="AD81" s="19"/>
      <c r="AE81" s="19"/>
      <c r="AF81" s="19"/>
      <c r="AG81" s="19"/>
      <c r="AH81" s="19"/>
      <c r="AI81" s="14"/>
      <c r="AJ81" s="135"/>
      <c r="AK81" s="135">
        <v>2021</v>
      </c>
      <c r="AL81" s="136">
        <v>300000</v>
      </c>
      <c r="AM81" s="137"/>
    </row>
    <row r="82" spans="1:39" s="27" customFormat="1" ht="49.5">
      <c r="A82" s="34" t="s">
        <v>876</v>
      </c>
      <c r="B82" s="34"/>
      <c r="C82" s="72" t="s">
        <v>1181</v>
      </c>
      <c r="D82" s="72"/>
      <c r="E82" s="120" t="s">
        <v>903</v>
      </c>
      <c r="F82" s="120"/>
      <c r="G82" s="132" t="s">
        <v>414</v>
      </c>
      <c r="H82" s="132" t="s">
        <v>415</v>
      </c>
      <c r="I82" s="132" t="s">
        <v>416</v>
      </c>
      <c r="J82" s="133" t="s">
        <v>417</v>
      </c>
      <c r="K82" s="134" t="s">
        <v>987</v>
      </c>
      <c r="L82" s="307">
        <f t="shared" si="25"/>
        <v>300000</v>
      </c>
      <c r="M82" s="308"/>
      <c r="N82" s="308">
        <v>300000</v>
      </c>
      <c r="O82" s="286"/>
      <c r="P82" s="286"/>
      <c r="Q82" s="286"/>
      <c r="R82" s="78"/>
      <c r="S82" s="70">
        <f t="shared" si="26"/>
        <v>0</v>
      </c>
      <c r="T82" s="70"/>
      <c r="U82" s="70">
        <v>300000</v>
      </c>
      <c r="V82" s="9" t="s">
        <v>756</v>
      </c>
      <c r="W82" s="19" t="s">
        <v>273</v>
      </c>
      <c r="X82" s="19"/>
      <c r="Y82" s="19"/>
      <c r="Z82" s="52"/>
      <c r="AA82" s="52"/>
      <c r="AB82" s="19">
        <v>300000</v>
      </c>
      <c r="AC82" s="24">
        <f t="shared" si="27"/>
        <v>0</v>
      </c>
      <c r="AD82" s="19"/>
      <c r="AE82" s="19"/>
      <c r="AF82" s="19"/>
      <c r="AG82" s="19"/>
      <c r="AH82" s="19"/>
      <c r="AI82" s="14"/>
      <c r="AJ82" s="135"/>
      <c r="AK82" s="135">
        <v>2021</v>
      </c>
      <c r="AL82" s="136">
        <v>300000</v>
      </c>
      <c r="AM82" s="137"/>
    </row>
    <row r="83" spans="1:39" s="27" customFormat="1" ht="49.5">
      <c r="A83" s="34" t="s">
        <v>876</v>
      </c>
      <c r="B83" s="34"/>
      <c r="C83" s="72" t="s">
        <v>1181</v>
      </c>
      <c r="D83" s="72"/>
      <c r="E83" s="120" t="s">
        <v>906</v>
      </c>
      <c r="F83" s="120"/>
      <c r="G83" s="132" t="s">
        <v>414</v>
      </c>
      <c r="H83" s="132" t="s">
        <v>415</v>
      </c>
      <c r="I83" s="132" t="s">
        <v>416</v>
      </c>
      <c r="J83" s="133" t="s">
        <v>417</v>
      </c>
      <c r="K83" s="134" t="s">
        <v>809</v>
      </c>
      <c r="L83" s="307">
        <f t="shared" si="25"/>
        <v>300000</v>
      </c>
      <c r="M83" s="308"/>
      <c r="N83" s="308">
        <v>300000</v>
      </c>
      <c r="O83" s="286"/>
      <c r="P83" s="286"/>
      <c r="Q83" s="286"/>
      <c r="R83" s="78"/>
      <c r="S83" s="70">
        <f t="shared" si="26"/>
        <v>0</v>
      </c>
      <c r="T83" s="70"/>
      <c r="U83" s="70">
        <v>300000</v>
      </c>
      <c r="V83" s="9" t="s">
        <v>756</v>
      </c>
      <c r="W83" s="19" t="s">
        <v>273</v>
      </c>
      <c r="X83" s="67"/>
      <c r="Y83" s="19"/>
      <c r="Z83" s="52"/>
      <c r="AA83" s="52"/>
      <c r="AB83" s="19">
        <v>300000</v>
      </c>
      <c r="AC83" s="24">
        <f t="shared" si="27"/>
        <v>0</v>
      </c>
      <c r="AD83" s="19"/>
      <c r="AE83" s="19"/>
      <c r="AF83" s="19"/>
      <c r="AG83" s="19"/>
      <c r="AH83" s="19"/>
      <c r="AI83" s="14"/>
      <c r="AJ83" s="135"/>
      <c r="AK83" s="135">
        <v>2021</v>
      </c>
      <c r="AL83" s="136">
        <v>300000</v>
      </c>
      <c r="AM83" s="137"/>
    </row>
    <row r="84" spans="1:39" s="27" customFormat="1" ht="49.5">
      <c r="A84" s="34" t="s">
        <v>876</v>
      </c>
      <c r="B84" s="34"/>
      <c r="C84" s="72" t="s">
        <v>1181</v>
      </c>
      <c r="D84" s="72"/>
      <c r="E84" s="120" t="s">
        <v>902</v>
      </c>
      <c r="F84" s="120"/>
      <c r="G84" s="132" t="s">
        <v>414</v>
      </c>
      <c r="H84" s="132" t="s">
        <v>415</v>
      </c>
      <c r="I84" s="132" t="s">
        <v>416</v>
      </c>
      <c r="J84" s="133" t="s">
        <v>417</v>
      </c>
      <c r="K84" s="134" t="s">
        <v>1079</v>
      </c>
      <c r="L84" s="307">
        <f t="shared" si="25"/>
        <v>300000</v>
      </c>
      <c r="M84" s="308"/>
      <c r="N84" s="308">
        <v>300000</v>
      </c>
      <c r="O84" s="286"/>
      <c r="P84" s="286"/>
      <c r="Q84" s="286"/>
      <c r="R84" s="78"/>
      <c r="S84" s="70">
        <f t="shared" si="26"/>
        <v>0</v>
      </c>
      <c r="T84" s="70"/>
      <c r="U84" s="70">
        <v>300000</v>
      </c>
      <c r="V84" s="9" t="s">
        <v>756</v>
      </c>
      <c r="W84" s="19" t="s">
        <v>273</v>
      </c>
      <c r="X84" s="19"/>
      <c r="Y84" s="19"/>
      <c r="Z84" s="52"/>
      <c r="AA84" s="52"/>
      <c r="AB84" s="19">
        <v>300000</v>
      </c>
      <c r="AC84" s="24">
        <f t="shared" si="27"/>
        <v>0</v>
      </c>
      <c r="AD84" s="19"/>
      <c r="AE84" s="19"/>
      <c r="AF84" s="19"/>
      <c r="AG84" s="19"/>
      <c r="AH84" s="19"/>
      <c r="AI84" s="14"/>
      <c r="AJ84" s="135"/>
      <c r="AK84" s="135">
        <v>2021</v>
      </c>
      <c r="AL84" s="136">
        <v>300000</v>
      </c>
      <c r="AM84" s="137"/>
    </row>
    <row r="85" spans="1:39" s="27" customFormat="1" ht="33">
      <c r="A85" s="34" t="s">
        <v>876</v>
      </c>
      <c r="B85" s="34"/>
      <c r="C85" s="72" t="s">
        <v>1181</v>
      </c>
      <c r="D85" s="72"/>
      <c r="E85" s="120" t="s">
        <v>905</v>
      </c>
      <c r="F85" s="120"/>
      <c r="G85" s="132" t="s">
        <v>414</v>
      </c>
      <c r="H85" s="132" t="s">
        <v>415</v>
      </c>
      <c r="I85" s="132" t="s">
        <v>416</v>
      </c>
      <c r="J85" s="133" t="s">
        <v>417</v>
      </c>
      <c r="K85" s="134" t="s">
        <v>1080</v>
      </c>
      <c r="L85" s="307">
        <f t="shared" si="25"/>
        <v>300000</v>
      </c>
      <c r="M85" s="308"/>
      <c r="N85" s="308">
        <v>300000</v>
      </c>
      <c r="O85" s="286"/>
      <c r="P85" s="286"/>
      <c r="Q85" s="286"/>
      <c r="R85" s="78"/>
      <c r="S85" s="70">
        <f t="shared" si="26"/>
        <v>0</v>
      </c>
      <c r="T85" s="70"/>
      <c r="U85" s="70">
        <v>300000</v>
      </c>
      <c r="V85" s="9" t="s">
        <v>756</v>
      </c>
      <c r="W85" s="19" t="s">
        <v>273</v>
      </c>
      <c r="X85" s="19"/>
      <c r="Y85" s="19"/>
      <c r="Z85" s="52"/>
      <c r="AA85" s="52"/>
      <c r="AB85" s="19">
        <v>300000</v>
      </c>
      <c r="AC85" s="24">
        <f t="shared" si="27"/>
        <v>0</v>
      </c>
      <c r="AD85" s="19"/>
      <c r="AE85" s="19"/>
      <c r="AF85" s="19"/>
      <c r="AG85" s="19"/>
      <c r="AH85" s="19"/>
      <c r="AI85" s="14"/>
      <c r="AJ85" s="135"/>
      <c r="AK85" s="135">
        <v>2021</v>
      </c>
      <c r="AL85" s="136">
        <v>300000</v>
      </c>
      <c r="AM85" s="137"/>
    </row>
    <row r="86" spans="1:39" s="27" customFormat="1" ht="66">
      <c r="A86" s="34" t="s">
        <v>876</v>
      </c>
      <c r="B86" s="34"/>
      <c r="C86" s="72" t="s">
        <v>1181</v>
      </c>
      <c r="D86" s="72"/>
      <c r="E86" s="120" t="s">
        <v>902</v>
      </c>
      <c r="F86" s="120"/>
      <c r="G86" s="132" t="s">
        <v>414</v>
      </c>
      <c r="H86" s="132" t="s">
        <v>415</v>
      </c>
      <c r="I86" s="132" t="s">
        <v>416</v>
      </c>
      <c r="J86" s="133" t="s">
        <v>417</v>
      </c>
      <c r="K86" s="134" t="s">
        <v>1267</v>
      </c>
      <c r="L86" s="307">
        <f t="shared" si="25"/>
        <v>300000</v>
      </c>
      <c r="M86" s="308"/>
      <c r="N86" s="308">
        <v>300000</v>
      </c>
      <c r="O86" s="286"/>
      <c r="P86" s="286"/>
      <c r="Q86" s="286"/>
      <c r="R86" s="78"/>
      <c r="S86" s="70">
        <f t="shared" si="26"/>
        <v>0</v>
      </c>
      <c r="T86" s="70"/>
      <c r="U86" s="70">
        <v>300000</v>
      </c>
      <c r="V86" s="9" t="s">
        <v>756</v>
      </c>
      <c r="W86" s="19" t="s">
        <v>273</v>
      </c>
      <c r="X86" s="19"/>
      <c r="Y86" s="19"/>
      <c r="Z86" s="52"/>
      <c r="AA86" s="52"/>
      <c r="AB86" s="19">
        <v>300000</v>
      </c>
      <c r="AC86" s="24">
        <f t="shared" si="27"/>
        <v>0</v>
      </c>
      <c r="AD86" s="19"/>
      <c r="AE86" s="19"/>
      <c r="AF86" s="19"/>
      <c r="AG86" s="19"/>
      <c r="AH86" s="19"/>
      <c r="AI86" s="14"/>
      <c r="AJ86" s="135"/>
      <c r="AK86" s="135">
        <v>2021</v>
      </c>
      <c r="AL86" s="136">
        <v>300000</v>
      </c>
      <c r="AM86" s="137"/>
    </row>
    <row r="87" spans="1:39" s="27" customFormat="1" ht="49.5">
      <c r="A87" s="34" t="s">
        <v>876</v>
      </c>
      <c r="B87" s="34"/>
      <c r="C87" s="72" t="s">
        <v>1181</v>
      </c>
      <c r="D87" s="72"/>
      <c r="E87" s="120" t="s">
        <v>905</v>
      </c>
      <c r="F87" s="120"/>
      <c r="G87" s="132" t="s">
        <v>414</v>
      </c>
      <c r="H87" s="132" t="s">
        <v>415</v>
      </c>
      <c r="I87" s="132" t="s">
        <v>416</v>
      </c>
      <c r="J87" s="133" t="s">
        <v>417</v>
      </c>
      <c r="K87" s="134" t="s">
        <v>761</v>
      </c>
      <c r="L87" s="307">
        <f t="shared" si="25"/>
        <v>300000</v>
      </c>
      <c r="M87" s="308"/>
      <c r="N87" s="308">
        <v>300000</v>
      </c>
      <c r="O87" s="286"/>
      <c r="P87" s="286"/>
      <c r="Q87" s="286"/>
      <c r="R87" s="78"/>
      <c r="S87" s="70">
        <f t="shared" si="26"/>
        <v>0</v>
      </c>
      <c r="T87" s="70"/>
      <c r="U87" s="70">
        <v>300000</v>
      </c>
      <c r="V87" s="9" t="s">
        <v>756</v>
      </c>
      <c r="W87" s="19" t="s">
        <v>273</v>
      </c>
      <c r="X87" s="19"/>
      <c r="Y87" s="19"/>
      <c r="Z87" s="52"/>
      <c r="AA87" s="52"/>
      <c r="AB87" s="19">
        <v>300000</v>
      </c>
      <c r="AC87" s="24">
        <f t="shared" si="27"/>
        <v>0</v>
      </c>
      <c r="AD87" s="19"/>
      <c r="AE87" s="19"/>
      <c r="AF87" s="19"/>
      <c r="AG87" s="19"/>
      <c r="AH87" s="19"/>
      <c r="AI87" s="14"/>
      <c r="AJ87" s="135"/>
      <c r="AK87" s="135">
        <v>2021</v>
      </c>
      <c r="AL87" s="136">
        <v>300000</v>
      </c>
      <c r="AM87" s="137"/>
    </row>
    <row r="88" spans="1:39" s="27" customFormat="1" ht="49.5">
      <c r="A88" s="34" t="s">
        <v>876</v>
      </c>
      <c r="B88" s="34"/>
      <c r="C88" s="72" t="s">
        <v>1181</v>
      </c>
      <c r="D88" s="72"/>
      <c r="E88" s="120" t="s">
        <v>902</v>
      </c>
      <c r="F88" s="120"/>
      <c r="G88" s="132" t="s">
        <v>414</v>
      </c>
      <c r="H88" s="132" t="s">
        <v>415</v>
      </c>
      <c r="I88" s="132" t="s">
        <v>416</v>
      </c>
      <c r="J88" s="133" t="s">
        <v>417</v>
      </c>
      <c r="K88" s="134" t="s">
        <v>810</v>
      </c>
      <c r="L88" s="307">
        <f t="shared" si="25"/>
        <v>300000</v>
      </c>
      <c r="M88" s="308"/>
      <c r="N88" s="308">
        <v>300000</v>
      </c>
      <c r="O88" s="286"/>
      <c r="P88" s="286"/>
      <c r="Q88" s="286"/>
      <c r="R88" s="78"/>
      <c r="S88" s="70">
        <f t="shared" si="26"/>
        <v>0</v>
      </c>
      <c r="T88" s="70"/>
      <c r="U88" s="70">
        <v>300000</v>
      </c>
      <c r="V88" s="9" t="s">
        <v>756</v>
      </c>
      <c r="W88" s="19" t="s">
        <v>273</v>
      </c>
      <c r="X88" s="19"/>
      <c r="Y88" s="19"/>
      <c r="Z88" s="52"/>
      <c r="AA88" s="52"/>
      <c r="AB88" s="19">
        <v>300000</v>
      </c>
      <c r="AC88" s="24">
        <f t="shared" si="27"/>
        <v>0</v>
      </c>
      <c r="AD88" s="19"/>
      <c r="AE88" s="19"/>
      <c r="AF88" s="19"/>
      <c r="AG88" s="19"/>
      <c r="AH88" s="19"/>
      <c r="AI88" s="14"/>
      <c r="AJ88" s="135"/>
      <c r="AK88" s="135">
        <v>2021</v>
      </c>
      <c r="AL88" s="136">
        <v>300000</v>
      </c>
      <c r="AM88" s="137"/>
    </row>
    <row r="89" spans="1:39" s="27" customFormat="1" ht="49.5">
      <c r="A89" s="34" t="s">
        <v>876</v>
      </c>
      <c r="B89" s="34"/>
      <c r="C89" s="72" t="s">
        <v>1181</v>
      </c>
      <c r="D89" s="72"/>
      <c r="E89" s="120" t="s">
        <v>902</v>
      </c>
      <c r="F89" s="120"/>
      <c r="G89" s="132" t="s">
        <v>414</v>
      </c>
      <c r="H89" s="132" t="s">
        <v>415</v>
      </c>
      <c r="I89" s="132" t="s">
        <v>416</v>
      </c>
      <c r="J89" s="133" t="s">
        <v>417</v>
      </c>
      <c r="K89" s="134" t="s">
        <v>811</v>
      </c>
      <c r="L89" s="307">
        <f t="shared" si="25"/>
        <v>300000</v>
      </c>
      <c r="M89" s="308"/>
      <c r="N89" s="308">
        <v>300000</v>
      </c>
      <c r="O89" s="286"/>
      <c r="P89" s="286"/>
      <c r="Q89" s="286"/>
      <c r="R89" s="78"/>
      <c r="S89" s="70">
        <f t="shared" si="26"/>
        <v>0</v>
      </c>
      <c r="T89" s="70"/>
      <c r="U89" s="70">
        <v>300000</v>
      </c>
      <c r="V89" s="9" t="s">
        <v>756</v>
      </c>
      <c r="W89" s="19" t="s">
        <v>273</v>
      </c>
      <c r="X89" s="19"/>
      <c r="Y89" s="19"/>
      <c r="Z89" s="52"/>
      <c r="AA89" s="52"/>
      <c r="AB89" s="19">
        <v>300000</v>
      </c>
      <c r="AC89" s="24">
        <f t="shared" si="27"/>
        <v>0</v>
      </c>
      <c r="AD89" s="19"/>
      <c r="AE89" s="19"/>
      <c r="AF89" s="19"/>
      <c r="AG89" s="19"/>
      <c r="AH89" s="19"/>
      <c r="AI89" s="14"/>
      <c r="AJ89" s="135"/>
      <c r="AK89" s="135">
        <v>2021</v>
      </c>
      <c r="AL89" s="136">
        <v>300000</v>
      </c>
      <c r="AM89" s="137"/>
    </row>
    <row r="90" spans="1:39" s="27" customFormat="1" ht="49.5">
      <c r="A90" s="34" t="s">
        <v>876</v>
      </c>
      <c r="B90" s="34"/>
      <c r="C90" s="72" t="s">
        <v>1181</v>
      </c>
      <c r="D90" s="72"/>
      <c r="E90" s="120" t="s">
        <v>905</v>
      </c>
      <c r="F90" s="120"/>
      <c r="G90" s="132" t="s">
        <v>414</v>
      </c>
      <c r="H90" s="132" t="s">
        <v>415</v>
      </c>
      <c r="I90" s="132" t="s">
        <v>416</v>
      </c>
      <c r="J90" s="133" t="s">
        <v>417</v>
      </c>
      <c r="K90" s="134" t="s">
        <v>877</v>
      </c>
      <c r="L90" s="307">
        <f t="shared" si="25"/>
        <v>300000</v>
      </c>
      <c r="M90" s="308"/>
      <c r="N90" s="308">
        <v>300000</v>
      </c>
      <c r="O90" s="286"/>
      <c r="P90" s="286"/>
      <c r="Q90" s="286"/>
      <c r="R90" s="78"/>
      <c r="S90" s="70">
        <f t="shared" si="26"/>
        <v>0</v>
      </c>
      <c r="T90" s="70"/>
      <c r="U90" s="70">
        <v>300000</v>
      </c>
      <c r="V90" s="9" t="s">
        <v>756</v>
      </c>
      <c r="W90" s="19" t="s">
        <v>273</v>
      </c>
      <c r="X90" s="19"/>
      <c r="Y90" s="19"/>
      <c r="Z90" s="52"/>
      <c r="AA90" s="52"/>
      <c r="AB90" s="19">
        <v>150000</v>
      </c>
      <c r="AC90" s="24">
        <f t="shared" si="27"/>
        <v>-150000</v>
      </c>
      <c r="AD90" s="19"/>
      <c r="AE90" s="19"/>
      <c r="AF90" s="19"/>
      <c r="AG90" s="19"/>
      <c r="AH90" s="19"/>
      <c r="AI90" s="14"/>
      <c r="AJ90" s="135"/>
      <c r="AK90" s="135">
        <v>2021</v>
      </c>
      <c r="AL90" s="136">
        <v>300000</v>
      </c>
      <c r="AM90" s="137"/>
    </row>
    <row r="91" spans="1:39" s="27" customFormat="1" ht="49.5">
      <c r="A91" s="34" t="s">
        <v>876</v>
      </c>
      <c r="B91" s="34"/>
      <c r="C91" s="72" t="s">
        <v>1181</v>
      </c>
      <c r="D91" s="72"/>
      <c r="E91" s="120" t="s">
        <v>905</v>
      </c>
      <c r="F91" s="120"/>
      <c r="G91" s="132" t="s">
        <v>414</v>
      </c>
      <c r="H91" s="132" t="s">
        <v>415</v>
      </c>
      <c r="I91" s="132" t="s">
        <v>416</v>
      </c>
      <c r="J91" s="133" t="s">
        <v>417</v>
      </c>
      <c r="K91" s="134" t="s">
        <v>566</v>
      </c>
      <c r="L91" s="307">
        <f t="shared" si="25"/>
        <v>150000</v>
      </c>
      <c r="M91" s="308"/>
      <c r="N91" s="308">
        <v>150000</v>
      </c>
      <c r="O91" s="286"/>
      <c r="P91" s="286"/>
      <c r="Q91" s="286"/>
      <c r="R91" s="78"/>
      <c r="S91" s="70">
        <f t="shared" si="26"/>
        <v>0</v>
      </c>
      <c r="T91" s="70"/>
      <c r="U91" s="70">
        <v>150000</v>
      </c>
      <c r="V91" s="9" t="s">
        <v>521</v>
      </c>
      <c r="W91" s="19"/>
      <c r="X91" s="72"/>
      <c r="Y91" s="19"/>
      <c r="Z91" s="52"/>
      <c r="AA91" s="52"/>
      <c r="AB91" s="19"/>
      <c r="AC91" s="24">
        <f t="shared" ref="AC91:AC97" si="28">X92+Y91+AB91-N91</f>
        <v>-122353.84</v>
      </c>
      <c r="AD91" s="19"/>
      <c r="AE91" s="19"/>
      <c r="AF91" s="19"/>
      <c r="AG91" s="19"/>
      <c r="AH91" s="19"/>
      <c r="AI91" s="14"/>
      <c r="AJ91" s="135"/>
      <c r="AK91" s="135">
        <v>2021</v>
      </c>
      <c r="AL91" s="136">
        <v>300000</v>
      </c>
      <c r="AM91" s="137"/>
    </row>
    <row r="92" spans="1:39" s="27" customFormat="1" ht="49.5">
      <c r="A92" s="34" t="s">
        <v>876</v>
      </c>
      <c r="B92" s="34"/>
      <c r="C92" s="72" t="s">
        <v>1181</v>
      </c>
      <c r="D92" s="72"/>
      <c r="E92" s="120" t="s">
        <v>1227</v>
      </c>
      <c r="F92" s="120"/>
      <c r="G92" s="132" t="s">
        <v>414</v>
      </c>
      <c r="H92" s="132" t="s">
        <v>415</v>
      </c>
      <c r="I92" s="132" t="s">
        <v>416</v>
      </c>
      <c r="J92" s="133" t="s">
        <v>417</v>
      </c>
      <c r="K92" s="134" t="s">
        <v>598</v>
      </c>
      <c r="L92" s="307">
        <f t="shared" si="25"/>
        <v>27646.16</v>
      </c>
      <c r="M92" s="308"/>
      <c r="N92" s="308">
        <v>27646.16</v>
      </c>
      <c r="O92" s="286"/>
      <c r="P92" s="286"/>
      <c r="Q92" s="286"/>
      <c r="R92" s="78"/>
      <c r="S92" s="70">
        <f t="shared" si="26"/>
        <v>0</v>
      </c>
      <c r="T92" s="70"/>
      <c r="U92" s="70">
        <v>27646.16</v>
      </c>
      <c r="V92" s="9" t="s">
        <v>521</v>
      </c>
      <c r="W92" s="19"/>
      <c r="X92" s="19">
        <v>27646.16</v>
      </c>
      <c r="Y92" s="19"/>
      <c r="Z92" s="52"/>
      <c r="AA92" s="52"/>
      <c r="AB92" s="19"/>
      <c r="AC92" s="24">
        <f t="shared" si="28"/>
        <v>73600.299999999988</v>
      </c>
      <c r="AD92" s="19"/>
      <c r="AE92" s="19"/>
      <c r="AF92" s="19"/>
      <c r="AG92" s="19"/>
      <c r="AH92" s="19"/>
      <c r="AI92" s="14"/>
      <c r="AJ92" s="135"/>
      <c r="AK92" s="135" t="s">
        <v>271</v>
      </c>
      <c r="AL92" s="136">
        <v>50000</v>
      </c>
      <c r="AM92" s="137"/>
    </row>
    <row r="93" spans="1:39" s="27" customFormat="1" ht="49.5">
      <c r="A93" s="34" t="s">
        <v>876</v>
      </c>
      <c r="B93" s="34"/>
      <c r="C93" s="72" t="s">
        <v>1181</v>
      </c>
      <c r="D93" s="72"/>
      <c r="E93" s="120" t="s">
        <v>1226</v>
      </c>
      <c r="F93" s="120"/>
      <c r="G93" s="132" t="s">
        <v>414</v>
      </c>
      <c r="H93" s="132" t="s">
        <v>415</v>
      </c>
      <c r="I93" s="132" t="s">
        <v>416</v>
      </c>
      <c r="J93" s="133" t="s">
        <v>417</v>
      </c>
      <c r="K93" s="134" t="s">
        <v>599</v>
      </c>
      <c r="L93" s="307">
        <f t="shared" si="25"/>
        <v>101246.46</v>
      </c>
      <c r="M93" s="308"/>
      <c r="N93" s="308">
        <v>101246.46</v>
      </c>
      <c r="O93" s="286"/>
      <c r="P93" s="286"/>
      <c r="Q93" s="286"/>
      <c r="R93" s="78"/>
      <c r="S93" s="70">
        <f t="shared" si="26"/>
        <v>0</v>
      </c>
      <c r="T93" s="70"/>
      <c r="U93" s="70">
        <v>101246.46</v>
      </c>
      <c r="V93" s="9" t="s">
        <v>521</v>
      </c>
      <c r="W93" s="19"/>
      <c r="X93" s="19">
        <v>101246.45999999999</v>
      </c>
      <c r="Y93" s="19"/>
      <c r="Z93" s="52"/>
      <c r="AA93" s="52"/>
      <c r="AB93" s="19"/>
      <c r="AC93" s="24">
        <f t="shared" si="28"/>
        <v>-66986.460000000006</v>
      </c>
      <c r="AD93" s="19"/>
      <c r="AE93" s="19"/>
      <c r="AF93" s="19"/>
      <c r="AG93" s="19"/>
      <c r="AH93" s="19"/>
      <c r="AI93" s="14"/>
      <c r="AJ93" s="135"/>
      <c r="AK93" s="135" t="s">
        <v>271</v>
      </c>
      <c r="AL93" s="136">
        <v>150000</v>
      </c>
      <c r="AM93" s="137"/>
    </row>
    <row r="94" spans="1:39" s="27" customFormat="1" ht="49.5">
      <c r="A94" s="34" t="s">
        <v>876</v>
      </c>
      <c r="B94" s="34"/>
      <c r="C94" s="72" t="s">
        <v>1181</v>
      </c>
      <c r="D94" s="72"/>
      <c r="E94" s="120" t="s">
        <v>903</v>
      </c>
      <c r="F94" s="120"/>
      <c r="G94" s="132" t="s">
        <v>414</v>
      </c>
      <c r="H94" s="132" t="s">
        <v>415</v>
      </c>
      <c r="I94" s="132" t="s">
        <v>416</v>
      </c>
      <c r="J94" s="133" t="s">
        <v>417</v>
      </c>
      <c r="K94" s="134" t="s">
        <v>988</v>
      </c>
      <c r="L94" s="307">
        <f t="shared" si="25"/>
        <v>34260</v>
      </c>
      <c r="M94" s="308"/>
      <c r="N94" s="308">
        <v>34260</v>
      </c>
      <c r="O94" s="286"/>
      <c r="P94" s="286"/>
      <c r="Q94" s="286"/>
      <c r="R94" s="78"/>
      <c r="S94" s="70">
        <f t="shared" si="26"/>
        <v>0</v>
      </c>
      <c r="T94" s="70"/>
      <c r="U94" s="70">
        <v>34260</v>
      </c>
      <c r="V94" s="9" t="s">
        <v>521</v>
      </c>
      <c r="W94" s="19"/>
      <c r="X94" s="19">
        <v>34260</v>
      </c>
      <c r="Y94" s="19"/>
      <c r="Z94" s="52"/>
      <c r="AA94" s="52"/>
      <c r="AB94" s="19"/>
      <c r="AC94" s="24">
        <f t="shared" si="28"/>
        <v>39504</v>
      </c>
      <c r="AD94" s="19"/>
      <c r="AE94" s="19"/>
      <c r="AF94" s="19"/>
      <c r="AG94" s="19"/>
      <c r="AH94" s="19"/>
      <c r="AI94" s="14"/>
      <c r="AJ94" s="135"/>
      <c r="AK94" s="135" t="s">
        <v>271</v>
      </c>
      <c r="AL94" s="136">
        <v>35000</v>
      </c>
      <c r="AM94" s="137"/>
    </row>
    <row r="95" spans="1:39" s="27" customFormat="1" ht="66">
      <c r="A95" s="34" t="s">
        <v>876</v>
      </c>
      <c r="B95" s="34"/>
      <c r="C95" s="72" t="s">
        <v>1181</v>
      </c>
      <c r="D95" s="72"/>
      <c r="E95" s="120" t="s">
        <v>906</v>
      </c>
      <c r="F95" s="120"/>
      <c r="G95" s="132" t="s">
        <v>414</v>
      </c>
      <c r="H95" s="132" t="s">
        <v>415</v>
      </c>
      <c r="I95" s="132" t="s">
        <v>416</v>
      </c>
      <c r="J95" s="133" t="s">
        <v>417</v>
      </c>
      <c r="K95" s="134" t="s">
        <v>615</v>
      </c>
      <c r="L95" s="307">
        <f t="shared" si="25"/>
        <v>73764</v>
      </c>
      <c r="M95" s="308"/>
      <c r="N95" s="308">
        <v>73764</v>
      </c>
      <c r="O95" s="286"/>
      <c r="P95" s="286"/>
      <c r="Q95" s="286"/>
      <c r="R95" s="78"/>
      <c r="S95" s="70">
        <f t="shared" si="26"/>
        <v>0</v>
      </c>
      <c r="T95" s="70"/>
      <c r="U95" s="70">
        <v>73764</v>
      </c>
      <c r="V95" s="9" t="s">
        <v>521</v>
      </c>
      <c r="W95" s="19"/>
      <c r="X95" s="19">
        <v>73764</v>
      </c>
      <c r="Y95" s="19"/>
      <c r="Z95" s="52"/>
      <c r="AA95" s="52"/>
      <c r="AB95" s="19"/>
      <c r="AC95" s="24">
        <f t="shared" si="28"/>
        <v>-51314</v>
      </c>
      <c r="AD95" s="19"/>
      <c r="AE95" s="19"/>
      <c r="AF95" s="19"/>
      <c r="AG95" s="19"/>
      <c r="AH95" s="19"/>
      <c r="AI95" s="14"/>
      <c r="AJ95" s="135"/>
      <c r="AK95" s="135" t="s">
        <v>271</v>
      </c>
      <c r="AL95" s="136">
        <v>100000</v>
      </c>
      <c r="AM95" s="137"/>
    </row>
    <row r="96" spans="1:39" s="27" customFormat="1" ht="49.5">
      <c r="A96" s="34" t="s">
        <v>876</v>
      </c>
      <c r="B96" s="34"/>
      <c r="C96" s="72" t="s">
        <v>1181</v>
      </c>
      <c r="D96" s="72"/>
      <c r="E96" s="120" t="s">
        <v>906</v>
      </c>
      <c r="F96" s="120"/>
      <c r="G96" s="132" t="s">
        <v>414</v>
      </c>
      <c r="H96" s="132" t="s">
        <v>415</v>
      </c>
      <c r="I96" s="132" t="s">
        <v>416</v>
      </c>
      <c r="J96" s="133" t="s">
        <v>417</v>
      </c>
      <c r="K96" s="134" t="s">
        <v>626</v>
      </c>
      <c r="L96" s="307">
        <f t="shared" si="25"/>
        <v>22450</v>
      </c>
      <c r="M96" s="308"/>
      <c r="N96" s="308">
        <v>22450</v>
      </c>
      <c r="O96" s="286"/>
      <c r="P96" s="286"/>
      <c r="Q96" s="286"/>
      <c r="R96" s="78"/>
      <c r="S96" s="70">
        <f t="shared" si="26"/>
        <v>0</v>
      </c>
      <c r="T96" s="70"/>
      <c r="U96" s="70">
        <v>22450</v>
      </c>
      <c r="V96" s="9" t="s">
        <v>521</v>
      </c>
      <c r="W96" s="19"/>
      <c r="X96" s="19">
        <v>22450</v>
      </c>
      <c r="Y96" s="19"/>
      <c r="Z96" s="52"/>
      <c r="AA96" s="52"/>
      <c r="AB96" s="19"/>
      <c r="AC96" s="24">
        <f t="shared" si="28"/>
        <v>197098.09</v>
      </c>
      <c r="AD96" s="19"/>
      <c r="AE96" s="19"/>
      <c r="AF96" s="19"/>
      <c r="AG96" s="19"/>
      <c r="AH96" s="19"/>
      <c r="AI96" s="14"/>
      <c r="AJ96" s="135"/>
      <c r="AK96" s="135" t="s">
        <v>271</v>
      </c>
      <c r="AL96" s="136">
        <v>35000</v>
      </c>
      <c r="AM96" s="138"/>
    </row>
    <row r="97" spans="1:39" s="27" customFormat="1" ht="49.5">
      <c r="A97" s="34" t="s">
        <v>876</v>
      </c>
      <c r="B97" s="34"/>
      <c r="C97" s="72" t="s">
        <v>1181</v>
      </c>
      <c r="D97" s="72"/>
      <c r="E97" s="120" t="s">
        <v>903</v>
      </c>
      <c r="F97" s="120"/>
      <c r="G97" s="132" t="s">
        <v>414</v>
      </c>
      <c r="H97" s="132" t="s">
        <v>415</v>
      </c>
      <c r="I97" s="132" t="s">
        <v>416</v>
      </c>
      <c r="J97" s="133" t="s">
        <v>417</v>
      </c>
      <c r="K97" s="134" t="s">
        <v>1081</v>
      </c>
      <c r="L97" s="307">
        <f t="shared" si="25"/>
        <v>219548.09</v>
      </c>
      <c r="M97" s="308"/>
      <c r="N97" s="308">
        <v>219548.09</v>
      </c>
      <c r="O97" s="286"/>
      <c r="P97" s="286"/>
      <c r="Q97" s="286"/>
      <c r="R97" s="78"/>
      <c r="S97" s="70">
        <f t="shared" si="26"/>
        <v>0</v>
      </c>
      <c r="T97" s="70"/>
      <c r="U97" s="70">
        <v>219548.09</v>
      </c>
      <c r="V97" s="9" t="s">
        <v>521</v>
      </c>
      <c r="W97" s="19"/>
      <c r="X97" s="19">
        <v>219548.09</v>
      </c>
      <c r="Y97" s="19"/>
      <c r="Z97" s="52"/>
      <c r="AA97" s="52"/>
      <c r="AB97" s="19"/>
      <c r="AC97" s="24">
        <f t="shared" si="28"/>
        <v>-30575.73000000001</v>
      </c>
      <c r="AD97" s="19"/>
      <c r="AE97" s="19"/>
      <c r="AF97" s="19"/>
      <c r="AG97" s="19"/>
      <c r="AH97" s="19"/>
      <c r="AI97" s="14"/>
      <c r="AJ97" s="135"/>
      <c r="AK97" s="135" t="s">
        <v>271</v>
      </c>
      <c r="AL97" s="136">
        <v>220000</v>
      </c>
      <c r="AM97" s="138"/>
    </row>
    <row r="98" spans="1:39" s="27" customFormat="1" ht="49.5">
      <c r="A98" s="34" t="s">
        <v>876</v>
      </c>
      <c r="B98" s="34"/>
      <c r="C98" s="72" t="s">
        <v>1181</v>
      </c>
      <c r="D98" s="72"/>
      <c r="E98" s="120" t="s">
        <v>905</v>
      </c>
      <c r="F98" s="120"/>
      <c r="G98" s="132" t="s">
        <v>414</v>
      </c>
      <c r="H98" s="132" t="s">
        <v>415</v>
      </c>
      <c r="I98" s="132" t="s">
        <v>416</v>
      </c>
      <c r="J98" s="133" t="s">
        <v>417</v>
      </c>
      <c r="K98" s="134" t="s">
        <v>638</v>
      </c>
      <c r="L98" s="307">
        <f t="shared" si="25"/>
        <v>188972.36</v>
      </c>
      <c r="M98" s="308"/>
      <c r="N98" s="308">
        <v>188972.36</v>
      </c>
      <c r="O98" s="286"/>
      <c r="P98" s="286"/>
      <c r="Q98" s="286"/>
      <c r="R98" s="78"/>
      <c r="S98" s="70">
        <f t="shared" si="26"/>
        <v>0</v>
      </c>
      <c r="T98" s="70"/>
      <c r="U98" s="70">
        <v>188972.36</v>
      </c>
      <c r="V98" s="9">
        <v>3</v>
      </c>
      <c r="W98" s="19"/>
      <c r="X98" s="19">
        <v>188972.36</v>
      </c>
      <c r="Y98" s="19"/>
      <c r="Z98" s="52"/>
      <c r="AA98" s="52"/>
      <c r="AB98" s="19">
        <v>100000</v>
      </c>
      <c r="AC98" s="24" t="e">
        <f>#REF!+Y98+AB98-N98</f>
        <v>#REF!</v>
      </c>
      <c r="AD98" s="19"/>
      <c r="AE98" s="19"/>
      <c r="AF98" s="19"/>
      <c r="AG98" s="19"/>
      <c r="AH98" s="19"/>
      <c r="AI98" s="14"/>
      <c r="AJ98" s="135"/>
      <c r="AK98" s="135" t="s">
        <v>271</v>
      </c>
      <c r="AL98" s="136">
        <v>200000</v>
      </c>
      <c r="AM98" s="138"/>
    </row>
    <row r="99" spans="1:39" s="27" customFormat="1" ht="66">
      <c r="A99" s="34" t="s">
        <v>876</v>
      </c>
      <c r="B99" s="34"/>
      <c r="C99" s="72" t="s">
        <v>1181</v>
      </c>
      <c r="D99" s="72"/>
      <c r="E99" s="120" t="s">
        <v>903</v>
      </c>
      <c r="F99" s="120"/>
      <c r="G99" s="132" t="s">
        <v>414</v>
      </c>
      <c r="H99" s="132" t="s">
        <v>415</v>
      </c>
      <c r="I99" s="132" t="s">
        <v>416</v>
      </c>
      <c r="J99" s="133" t="s">
        <v>417</v>
      </c>
      <c r="K99" s="134" t="s">
        <v>1048</v>
      </c>
      <c r="L99" s="307">
        <f t="shared" si="25"/>
        <v>200000</v>
      </c>
      <c r="M99" s="308"/>
      <c r="N99" s="308">
        <v>200000</v>
      </c>
      <c r="O99" s="296"/>
      <c r="P99" s="296"/>
      <c r="Q99" s="296"/>
      <c r="R99" s="84"/>
      <c r="S99" s="70">
        <f t="shared" si="26"/>
        <v>0</v>
      </c>
      <c r="T99" s="70"/>
      <c r="U99" s="70">
        <v>200000</v>
      </c>
      <c r="V99" s="9">
        <v>3</v>
      </c>
      <c r="W99" s="19"/>
      <c r="X99" s="67"/>
      <c r="Y99" s="19"/>
      <c r="Z99" s="52"/>
      <c r="AA99" s="52"/>
      <c r="AB99" s="19">
        <v>100000</v>
      </c>
      <c r="AC99" s="24">
        <f>X99+Y99+AB99-N99</f>
        <v>-100000</v>
      </c>
      <c r="AD99" s="19"/>
      <c r="AE99" s="19"/>
      <c r="AF99" s="19"/>
      <c r="AG99" s="19"/>
      <c r="AH99" s="19"/>
      <c r="AI99" s="14"/>
      <c r="AJ99" s="139">
        <v>35</v>
      </c>
      <c r="AK99" s="135" t="s">
        <v>271</v>
      </c>
      <c r="AL99" s="136">
        <v>624000</v>
      </c>
      <c r="AM99" s="138">
        <v>5</v>
      </c>
    </row>
    <row r="100" spans="1:39" s="27" customFormat="1" ht="66">
      <c r="A100" s="34" t="s">
        <v>876</v>
      </c>
      <c r="B100" s="34"/>
      <c r="C100" s="72" t="s">
        <v>1181</v>
      </c>
      <c r="D100" s="72"/>
      <c r="E100" s="120" t="s">
        <v>903</v>
      </c>
      <c r="F100" s="120"/>
      <c r="G100" s="132" t="s">
        <v>414</v>
      </c>
      <c r="H100" s="132" t="s">
        <v>415</v>
      </c>
      <c r="I100" s="132" t="s">
        <v>416</v>
      </c>
      <c r="J100" s="133" t="s">
        <v>417</v>
      </c>
      <c r="K100" s="134" t="s">
        <v>1126</v>
      </c>
      <c r="L100" s="307">
        <f t="shared" si="25"/>
        <v>200000</v>
      </c>
      <c r="M100" s="308"/>
      <c r="N100" s="308">
        <v>200000</v>
      </c>
      <c r="O100" s="296"/>
      <c r="P100" s="296"/>
      <c r="Q100" s="296"/>
      <c r="R100" s="84"/>
      <c r="S100" s="70">
        <f t="shared" si="26"/>
        <v>0</v>
      </c>
      <c r="T100" s="70"/>
      <c r="U100" s="70">
        <v>200000</v>
      </c>
      <c r="V100" s="9">
        <v>3</v>
      </c>
      <c r="W100" s="19"/>
      <c r="X100" s="19"/>
      <c r="Y100" s="19"/>
      <c r="Z100" s="52"/>
      <c r="AA100" s="52"/>
      <c r="AB100" s="19">
        <v>100000</v>
      </c>
      <c r="AC100" s="24">
        <f>X100+Y100+AB100-N100</f>
        <v>-100000</v>
      </c>
      <c r="AD100" s="19"/>
      <c r="AE100" s="19"/>
      <c r="AF100" s="19"/>
      <c r="AG100" s="19"/>
      <c r="AH100" s="19"/>
      <c r="AI100" s="14"/>
      <c r="AJ100" s="139">
        <v>30</v>
      </c>
      <c r="AK100" s="135" t="s">
        <v>271</v>
      </c>
      <c r="AL100" s="136">
        <v>729000</v>
      </c>
      <c r="AM100" s="138">
        <v>5</v>
      </c>
    </row>
    <row r="101" spans="1:39" s="27" customFormat="1" ht="49.5">
      <c r="A101" s="34" t="s">
        <v>876</v>
      </c>
      <c r="B101" s="34"/>
      <c r="C101" s="72" t="s">
        <v>1181</v>
      </c>
      <c r="D101" s="72"/>
      <c r="E101" s="120" t="s">
        <v>901</v>
      </c>
      <c r="F101" s="120"/>
      <c r="G101" s="132" t="s">
        <v>414</v>
      </c>
      <c r="H101" s="132" t="s">
        <v>415</v>
      </c>
      <c r="I101" s="132" t="s">
        <v>416</v>
      </c>
      <c r="J101" s="133" t="s">
        <v>417</v>
      </c>
      <c r="K101" s="134" t="s">
        <v>1308</v>
      </c>
      <c r="L101" s="307">
        <f t="shared" si="25"/>
        <v>200000</v>
      </c>
      <c r="M101" s="308"/>
      <c r="N101" s="308">
        <v>200000</v>
      </c>
      <c r="O101" s="296"/>
      <c r="P101" s="296"/>
      <c r="Q101" s="296"/>
      <c r="R101" s="84"/>
      <c r="S101" s="70">
        <f t="shared" si="26"/>
        <v>0</v>
      </c>
      <c r="T101" s="70"/>
      <c r="U101" s="70">
        <v>200000</v>
      </c>
      <c r="V101" s="9" t="s">
        <v>521</v>
      </c>
      <c r="W101" s="19"/>
      <c r="X101" s="67"/>
      <c r="Y101" s="67"/>
      <c r="Z101" s="52"/>
      <c r="AA101" s="52"/>
      <c r="AB101" s="19"/>
      <c r="AC101" s="24">
        <f>X108+Y108+AB101-N101</f>
        <v>893610.08000000007</v>
      </c>
      <c r="AD101" s="19"/>
      <c r="AE101" s="19"/>
      <c r="AF101" s="19"/>
      <c r="AG101" s="19"/>
      <c r="AH101" s="19"/>
      <c r="AI101" s="14"/>
      <c r="AJ101" s="139">
        <v>30</v>
      </c>
      <c r="AK101" s="135" t="s">
        <v>271</v>
      </c>
      <c r="AL101" s="136">
        <v>652000</v>
      </c>
      <c r="AM101" s="138">
        <v>5</v>
      </c>
    </row>
    <row r="102" spans="1:39" s="66" customFormat="1" ht="49.5">
      <c r="A102" s="72" t="s">
        <v>876</v>
      </c>
      <c r="B102" s="72"/>
      <c r="C102" s="72"/>
      <c r="D102" s="72"/>
      <c r="E102" s="120"/>
      <c r="F102" s="120"/>
      <c r="G102" s="132" t="s">
        <v>418</v>
      </c>
      <c r="H102" s="132" t="s">
        <v>520</v>
      </c>
      <c r="I102" s="132" t="s">
        <v>108</v>
      </c>
      <c r="J102" s="133" t="s">
        <v>419</v>
      </c>
      <c r="K102" s="134" t="s">
        <v>1239</v>
      </c>
      <c r="L102" s="307">
        <f t="shared" si="25"/>
        <v>200000</v>
      </c>
      <c r="M102" s="308"/>
      <c r="N102" s="308">
        <v>200000</v>
      </c>
      <c r="O102" s="309"/>
      <c r="P102" s="309"/>
      <c r="Q102" s="309"/>
      <c r="R102" s="159"/>
      <c r="S102" s="70">
        <f t="shared" si="26"/>
        <v>0</v>
      </c>
      <c r="T102" s="70"/>
      <c r="U102" s="118">
        <v>200000</v>
      </c>
      <c r="V102" s="69"/>
      <c r="W102" s="67"/>
      <c r="X102" s="67"/>
      <c r="Y102" s="67"/>
      <c r="Z102" s="67"/>
      <c r="AA102" s="67"/>
      <c r="AB102" s="67"/>
      <c r="AC102" s="65"/>
      <c r="AD102" s="67"/>
      <c r="AE102" s="67"/>
      <c r="AF102" s="67"/>
      <c r="AG102" s="67"/>
      <c r="AH102" s="67"/>
      <c r="AI102" s="71"/>
      <c r="AJ102" s="139">
        <v>100</v>
      </c>
      <c r="AK102" s="135">
        <v>2021</v>
      </c>
      <c r="AL102" s="136" t="s">
        <v>1237</v>
      </c>
      <c r="AM102" s="138"/>
    </row>
    <row r="103" spans="1:39" s="66" customFormat="1" ht="33">
      <c r="A103" s="72" t="s">
        <v>876</v>
      </c>
      <c r="B103" s="72"/>
      <c r="C103" s="72"/>
      <c r="D103" s="72"/>
      <c r="E103" s="120"/>
      <c r="F103" s="120"/>
      <c r="G103" s="132" t="s">
        <v>418</v>
      </c>
      <c r="H103" s="132" t="s">
        <v>520</v>
      </c>
      <c r="I103" s="132" t="s">
        <v>108</v>
      </c>
      <c r="J103" s="133" t="s">
        <v>419</v>
      </c>
      <c r="K103" s="134" t="s">
        <v>1377</v>
      </c>
      <c r="L103" s="307">
        <f t="shared" si="25"/>
        <v>200000</v>
      </c>
      <c r="M103" s="308">
        <v>200000</v>
      </c>
      <c r="N103" s="308"/>
      <c r="O103" s="309"/>
      <c r="P103" s="309"/>
      <c r="Q103" s="309"/>
      <c r="R103" s="159"/>
      <c r="S103" s="70"/>
      <c r="T103" s="70"/>
      <c r="U103" s="118"/>
      <c r="V103" s="69"/>
      <c r="W103" s="67"/>
      <c r="X103" s="67"/>
      <c r="Y103" s="67"/>
      <c r="Z103" s="67"/>
      <c r="AA103" s="67"/>
      <c r="AB103" s="67"/>
      <c r="AC103" s="65"/>
      <c r="AD103" s="67"/>
      <c r="AE103" s="67"/>
      <c r="AF103" s="67"/>
      <c r="AG103" s="67"/>
      <c r="AH103" s="67"/>
      <c r="AI103" s="71"/>
      <c r="AJ103" s="139"/>
      <c r="AK103" s="135">
        <v>2021</v>
      </c>
      <c r="AL103" s="136"/>
      <c r="AM103" s="138"/>
    </row>
    <row r="104" spans="1:39" s="27" customFormat="1" ht="66">
      <c r="A104" s="34" t="s">
        <v>876</v>
      </c>
      <c r="B104" s="34"/>
      <c r="C104" s="72"/>
      <c r="D104" s="72"/>
      <c r="E104" s="120"/>
      <c r="F104" s="120"/>
      <c r="G104" s="132" t="s">
        <v>418</v>
      </c>
      <c r="H104" s="132" t="s">
        <v>520</v>
      </c>
      <c r="I104" s="132" t="s">
        <v>108</v>
      </c>
      <c r="J104" s="133" t="s">
        <v>419</v>
      </c>
      <c r="K104" s="134" t="s">
        <v>1240</v>
      </c>
      <c r="L104" s="307">
        <f t="shared" si="25"/>
        <v>300000</v>
      </c>
      <c r="M104" s="308"/>
      <c r="N104" s="308">
        <v>300000</v>
      </c>
      <c r="O104" s="309"/>
      <c r="P104" s="309"/>
      <c r="Q104" s="309"/>
      <c r="R104" s="159"/>
      <c r="S104" s="70">
        <f t="shared" ref="S104:S167" si="29">N104-U104</f>
        <v>0</v>
      </c>
      <c r="T104" s="70"/>
      <c r="U104" s="118">
        <v>300000</v>
      </c>
      <c r="V104" s="69"/>
      <c r="W104" s="67"/>
      <c r="X104" s="67"/>
      <c r="Y104" s="67"/>
      <c r="Z104" s="67"/>
      <c r="AA104" s="67"/>
      <c r="AB104" s="67"/>
      <c r="AC104" s="65"/>
      <c r="AD104" s="67"/>
      <c r="AE104" s="67"/>
      <c r="AF104" s="67"/>
      <c r="AG104" s="67"/>
      <c r="AH104" s="67"/>
      <c r="AI104" s="14"/>
      <c r="AJ104" s="139">
        <v>100</v>
      </c>
      <c r="AK104" s="135">
        <v>2021</v>
      </c>
      <c r="AL104" s="136" t="s">
        <v>1238</v>
      </c>
      <c r="AM104" s="138"/>
    </row>
    <row r="105" spans="1:39" s="66" customFormat="1" ht="33">
      <c r="A105" s="72" t="s">
        <v>876</v>
      </c>
      <c r="B105" s="72"/>
      <c r="C105" s="72"/>
      <c r="D105" s="72"/>
      <c r="E105" s="120" t="s">
        <v>904</v>
      </c>
      <c r="F105" s="120"/>
      <c r="G105" s="132" t="s">
        <v>418</v>
      </c>
      <c r="H105" s="132" t="s">
        <v>520</v>
      </c>
      <c r="I105" s="132" t="s">
        <v>108</v>
      </c>
      <c r="J105" s="133" t="s">
        <v>419</v>
      </c>
      <c r="K105" s="134" t="s">
        <v>789</v>
      </c>
      <c r="L105" s="307">
        <f t="shared" si="25"/>
        <v>550000</v>
      </c>
      <c r="M105" s="308"/>
      <c r="N105" s="308">
        <f>50000+500000</f>
        <v>550000</v>
      </c>
      <c r="O105" s="309"/>
      <c r="P105" s="309"/>
      <c r="Q105" s="309"/>
      <c r="R105" s="159"/>
      <c r="S105" s="70">
        <f t="shared" si="29"/>
        <v>0</v>
      </c>
      <c r="T105" s="70"/>
      <c r="U105" s="118">
        <f>50000+500000</f>
        <v>550000</v>
      </c>
      <c r="V105" s="69" t="s">
        <v>521</v>
      </c>
      <c r="W105" s="67"/>
      <c r="X105" s="67">
        <v>50000</v>
      </c>
      <c r="Y105" s="67">
        <f>N105-X105</f>
        <v>500000</v>
      </c>
      <c r="Z105" s="67"/>
      <c r="AA105" s="67"/>
      <c r="AB105" s="67"/>
      <c r="AC105" s="65">
        <f>X106+Y106+AB105-N105</f>
        <v>300000</v>
      </c>
      <c r="AD105" s="67"/>
      <c r="AE105" s="67"/>
      <c r="AF105" s="67"/>
      <c r="AG105" s="67"/>
      <c r="AH105" s="67"/>
      <c r="AI105" s="71"/>
      <c r="AJ105" s="139">
        <v>70</v>
      </c>
      <c r="AK105" s="135" t="s">
        <v>271</v>
      </c>
      <c r="AL105" s="136">
        <v>760000</v>
      </c>
      <c r="AM105" s="138">
        <v>5</v>
      </c>
    </row>
    <row r="106" spans="1:39" s="66" customFormat="1" ht="66" customHeight="1">
      <c r="A106" s="72" t="s">
        <v>876</v>
      </c>
      <c r="B106" s="72"/>
      <c r="C106" s="119" t="s">
        <v>1192</v>
      </c>
      <c r="D106" s="119"/>
      <c r="E106" s="121" t="s">
        <v>904</v>
      </c>
      <c r="F106" s="121"/>
      <c r="G106" s="132" t="s">
        <v>418</v>
      </c>
      <c r="H106" s="132" t="s">
        <v>520</v>
      </c>
      <c r="I106" s="132" t="s">
        <v>108</v>
      </c>
      <c r="J106" s="133" t="s">
        <v>419</v>
      </c>
      <c r="K106" s="134" t="s">
        <v>578</v>
      </c>
      <c r="L106" s="307">
        <f t="shared" si="25"/>
        <v>850000</v>
      </c>
      <c r="M106" s="308"/>
      <c r="N106" s="308">
        <f>50000+800000</f>
        <v>850000</v>
      </c>
      <c r="O106" s="309"/>
      <c r="P106" s="309"/>
      <c r="Q106" s="309"/>
      <c r="R106" s="159"/>
      <c r="S106" s="70">
        <f t="shared" si="29"/>
        <v>0</v>
      </c>
      <c r="T106" s="70"/>
      <c r="U106" s="118">
        <f>50000+800000</f>
        <v>850000</v>
      </c>
      <c r="V106" s="69" t="s">
        <v>521</v>
      </c>
      <c r="W106" s="67"/>
      <c r="X106" s="67">
        <v>50000</v>
      </c>
      <c r="Y106" s="67">
        <f>N106-X106</f>
        <v>800000</v>
      </c>
      <c r="Z106" s="67"/>
      <c r="AA106" s="67"/>
      <c r="AB106" s="67"/>
      <c r="AC106" s="65">
        <f>X108+Y108+AB106-N106</f>
        <v>243610.08000000007</v>
      </c>
      <c r="AD106" s="67"/>
      <c r="AE106" s="67"/>
      <c r="AF106" s="67"/>
      <c r="AG106" s="67"/>
      <c r="AH106" s="67"/>
      <c r="AI106" s="71"/>
      <c r="AJ106" s="139">
        <v>10</v>
      </c>
      <c r="AK106" s="135" t="s">
        <v>272</v>
      </c>
      <c r="AL106" s="136">
        <v>10915000</v>
      </c>
      <c r="AM106" s="138">
        <v>10</v>
      </c>
    </row>
    <row r="107" spans="1:39" s="66" customFormat="1" ht="66" customHeight="1">
      <c r="A107" s="72" t="s">
        <v>876</v>
      </c>
      <c r="B107" s="72"/>
      <c r="C107" s="119"/>
      <c r="D107" s="119"/>
      <c r="E107" s="121"/>
      <c r="F107" s="121"/>
      <c r="G107" s="132" t="s">
        <v>418</v>
      </c>
      <c r="H107" s="132" t="s">
        <v>520</v>
      </c>
      <c r="I107" s="132" t="s">
        <v>108</v>
      </c>
      <c r="J107" s="133" t="s">
        <v>419</v>
      </c>
      <c r="K107" s="134" t="s">
        <v>1309</v>
      </c>
      <c r="L107" s="307">
        <f t="shared" si="25"/>
        <v>700000</v>
      </c>
      <c r="M107" s="308"/>
      <c r="N107" s="308">
        <v>700000</v>
      </c>
      <c r="O107" s="309"/>
      <c r="P107" s="309"/>
      <c r="Q107" s="309"/>
      <c r="R107" s="159"/>
      <c r="S107" s="70">
        <f t="shared" si="29"/>
        <v>0</v>
      </c>
      <c r="T107" s="70"/>
      <c r="U107" s="118">
        <v>700000</v>
      </c>
      <c r="V107" s="69"/>
      <c r="W107" s="67"/>
      <c r="X107" s="67"/>
      <c r="Y107" s="67"/>
      <c r="Z107" s="67"/>
      <c r="AA107" s="67"/>
      <c r="AB107" s="67"/>
      <c r="AC107" s="65"/>
      <c r="AD107" s="67"/>
      <c r="AE107" s="67"/>
      <c r="AF107" s="67"/>
      <c r="AG107" s="67"/>
      <c r="AH107" s="67"/>
      <c r="AI107" s="71"/>
      <c r="AJ107" s="139">
        <v>95</v>
      </c>
      <c r="AK107" s="135">
        <v>2021</v>
      </c>
      <c r="AL107" s="136">
        <v>731494</v>
      </c>
      <c r="AM107" s="138"/>
    </row>
    <row r="108" spans="1:39" s="27" customFormat="1" ht="49.5" customHeight="1">
      <c r="A108" s="34" t="s">
        <v>876</v>
      </c>
      <c r="B108" s="34"/>
      <c r="C108" s="119" t="s">
        <v>1183</v>
      </c>
      <c r="D108" s="119"/>
      <c r="E108" s="121" t="s">
        <v>904</v>
      </c>
      <c r="F108" s="121"/>
      <c r="G108" s="132" t="s">
        <v>418</v>
      </c>
      <c r="H108" s="132" t="s">
        <v>520</v>
      </c>
      <c r="I108" s="132" t="s">
        <v>108</v>
      </c>
      <c r="J108" s="133" t="s">
        <v>419</v>
      </c>
      <c r="K108" s="134" t="s">
        <v>1245</v>
      </c>
      <c r="L108" s="307">
        <f t="shared" si="25"/>
        <v>1093610.08</v>
      </c>
      <c r="M108" s="308"/>
      <c r="N108" s="308">
        <v>1093610.08</v>
      </c>
      <c r="O108" s="309"/>
      <c r="P108" s="309"/>
      <c r="Q108" s="309"/>
      <c r="R108" s="159"/>
      <c r="S108" s="70">
        <f t="shared" si="29"/>
        <v>0</v>
      </c>
      <c r="T108" s="70"/>
      <c r="U108" s="70">
        <v>1093610.08</v>
      </c>
      <c r="V108" s="9" t="s">
        <v>521</v>
      </c>
      <c r="W108" s="19"/>
      <c r="X108" s="19">
        <v>460912.35</v>
      </c>
      <c r="Y108" s="19">
        <f t="shared" ref="Y108:Y137" si="30">N108-X108</f>
        <v>632697.7300000001</v>
      </c>
      <c r="Z108" s="52"/>
      <c r="AA108" s="52"/>
      <c r="AB108" s="19"/>
      <c r="AC108" s="24">
        <f t="shared" ref="AC108:AC136" si="31">X109+Y109+AB108-N108</f>
        <v>-474922.64000000013</v>
      </c>
      <c r="AD108" s="19"/>
      <c r="AE108" s="19"/>
      <c r="AF108" s="19"/>
      <c r="AG108" s="19"/>
      <c r="AH108" s="19"/>
      <c r="AI108" s="14"/>
      <c r="AJ108" s="139">
        <v>100</v>
      </c>
      <c r="AK108" s="135" t="s">
        <v>347</v>
      </c>
      <c r="AL108" s="136">
        <v>2347996</v>
      </c>
      <c r="AM108" s="138">
        <v>95</v>
      </c>
    </row>
    <row r="109" spans="1:39" s="27" customFormat="1" ht="66" customHeight="1">
      <c r="A109" s="34" t="s">
        <v>876</v>
      </c>
      <c r="B109" s="34"/>
      <c r="C109" s="119" t="s">
        <v>1183</v>
      </c>
      <c r="D109" s="119"/>
      <c r="E109" s="121" t="s">
        <v>901</v>
      </c>
      <c r="F109" s="121"/>
      <c r="G109" s="132" t="s">
        <v>418</v>
      </c>
      <c r="H109" s="132" t="s">
        <v>520</v>
      </c>
      <c r="I109" s="132" t="s">
        <v>108</v>
      </c>
      <c r="J109" s="133" t="s">
        <v>419</v>
      </c>
      <c r="K109" s="134" t="s">
        <v>522</v>
      </c>
      <c r="L109" s="307">
        <f t="shared" si="25"/>
        <v>618687.43999999994</v>
      </c>
      <c r="M109" s="308"/>
      <c r="N109" s="308">
        <v>618687.43999999994</v>
      </c>
      <c r="O109" s="296"/>
      <c r="P109" s="296"/>
      <c r="Q109" s="296"/>
      <c r="R109" s="84"/>
      <c r="S109" s="70">
        <f t="shared" si="29"/>
        <v>0</v>
      </c>
      <c r="T109" s="70"/>
      <c r="U109" s="70">
        <v>618687.43999999994</v>
      </c>
      <c r="V109" s="9" t="s">
        <v>521</v>
      </c>
      <c r="W109" s="19"/>
      <c r="X109" s="19">
        <v>118687.44</v>
      </c>
      <c r="Y109" s="67">
        <f t="shared" si="30"/>
        <v>499999.99999999994</v>
      </c>
      <c r="Z109" s="52"/>
      <c r="AA109" s="52"/>
      <c r="AB109" s="19"/>
      <c r="AC109" s="24">
        <f t="shared" si="31"/>
        <v>-76687.439999999944</v>
      </c>
      <c r="AD109" s="19"/>
      <c r="AE109" s="19"/>
      <c r="AF109" s="19"/>
      <c r="AG109" s="19"/>
      <c r="AH109" s="19"/>
      <c r="AI109" s="14"/>
      <c r="AJ109" s="139">
        <v>90</v>
      </c>
      <c r="AK109" s="135" t="s">
        <v>347</v>
      </c>
      <c r="AL109" s="136">
        <v>2163526</v>
      </c>
      <c r="AM109" s="138">
        <v>80</v>
      </c>
    </row>
    <row r="110" spans="1:39" s="27" customFormat="1" ht="66" customHeight="1">
      <c r="A110" s="34" t="s">
        <v>876</v>
      </c>
      <c r="B110" s="34"/>
      <c r="C110" s="119" t="s">
        <v>1183</v>
      </c>
      <c r="D110" s="119"/>
      <c r="E110" s="121" t="s">
        <v>903</v>
      </c>
      <c r="F110" s="121"/>
      <c r="G110" s="132" t="s">
        <v>418</v>
      </c>
      <c r="H110" s="132" t="s">
        <v>520</v>
      </c>
      <c r="I110" s="132" t="s">
        <v>108</v>
      </c>
      <c r="J110" s="133" t="s">
        <v>419</v>
      </c>
      <c r="K110" s="134" t="s">
        <v>1246</v>
      </c>
      <c r="L110" s="307">
        <f t="shared" si="25"/>
        <v>542000</v>
      </c>
      <c r="M110" s="308"/>
      <c r="N110" s="308">
        <v>542000</v>
      </c>
      <c r="O110" s="296"/>
      <c r="P110" s="296"/>
      <c r="Q110" s="296"/>
      <c r="R110" s="84"/>
      <c r="S110" s="70">
        <f t="shared" si="29"/>
        <v>0</v>
      </c>
      <c r="T110" s="70"/>
      <c r="U110" s="70">
        <v>542000</v>
      </c>
      <c r="V110" s="9" t="s">
        <v>756</v>
      </c>
      <c r="W110" s="19" t="s">
        <v>523</v>
      </c>
      <c r="X110" s="19"/>
      <c r="Y110" s="67">
        <f t="shared" si="30"/>
        <v>542000</v>
      </c>
      <c r="Z110" s="52"/>
      <c r="AA110" s="52"/>
      <c r="AB110" s="19">
        <v>500000</v>
      </c>
      <c r="AC110" s="24">
        <f t="shared" si="31"/>
        <v>658000</v>
      </c>
      <c r="AD110" s="19"/>
      <c r="AE110" s="19"/>
      <c r="AF110" s="19"/>
      <c r="AG110" s="19"/>
      <c r="AH110" s="19"/>
      <c r="AI110" s="14"/>
      <c r="AJ110" s="139">
        <v>100</v>
      </c>
      <c r="AK110" s="135" t="s">
        <v>271</v>
      </c>
      <c r="AL110" s="136">
        <v>570274</v>
      </c>
      <c r="AM110" s="138">
        <v>10</v>
      </c>
    </row>
    <row r="111" spans="1:39" s="27" customFormat="1" ht="33">
      <c r="A111" s="34" t="s">
        <v>876</v>
      </c>
      <c r="B111" s="34"/>
      <c r="C111" s="72" t="s">
        <v>1182</v>
      </c>
      <c r="D111" s="72"/>
      <c r="E111" s="120" t="s">
        <v>904</v>
      </c>
      <c r="F111" s="120"/>
      <c r="G111" s="132" t="s">
        <v>418</v>
      </c>
      <c r="H111" s="132" t="s">
        <v>520</v>
      </c>
      <c r="I111" s="132" t="s">
        <v>108</v>
      </c>
      <c r="J111" s="133" t="s">
        <v>419</v>
      </c>
      <c r="K111" s="134" t="s">
        <v>782</v>
      </c>
      <c r="L111" s="307">
        <f t="shared" si="25"/>
        <v>700000</v>
      </c>
      <c r="M111" s="308"/>
      <c r="N111" s="308">
        <v>700000</v>
      </c>
      <c r="O111" s="296"/>
      <c r="P111" s="296"/>
      <c r="Q111" s="296"/>
      <c r="R111" s="84"/>
      <c r="S111" s="70">
        <f t="shared" si="29"/>
        <v>0</v>
      </c>
      <c r="T111" s="70"/>
      <c r="U111" s="70">
        <v>700000</v>
      </c>
      <c r="V111" s="9" t="s">
        <v>756</v>
      </c>
      <c r="W111" s="19" t="s">
        <v>523</v>
      </c>
      <c r="X111" s="19">
        <v>200000</v>
      </c>
      <c r="Y111" s="67">
        <f t="shared" si="30"/>
        <v>500000</v>
      </c>
      <c r="Z111" s="52"/>
      <c r="AA111" s="52"/>
      <c r="AB111" s="19">
        <v>500000</v>
      </c>
      <c r="AC111" s="24">
        <f t="shared" si="31"/>
        <v>0</v>
      </c>
      <c r="AD111" s="19"/>
      <c r="AE111" s="19"/>
      <c r="AF111" s="19"/>
      <c r="AG111" s="19"/>
      <c r="AH111" s="19"/>
      <c r="AI111" s="14"/>
      <c r="AJ111" s="139">
        <v>10</v>
      </c>
      <c r="AK111" s="135" t="s">
        <v>271</v>
      </c>
      <c r="AL111" s="136">
        <v>16622890</v>
      </c>
      <c r="AM111" s="138">
        <v>5</v>
      </c>
    </row>
    <row r="112" spans="1:39" s="27" customFormat="1" ht="33">
      <c r="A112" s="34" t="s">
        <v>876</v>
      </c>
      <c r="B112" s="34"/>
      <c r="C112" s="72" t="s">
        <v>1182</v>
      </c>
      <c r="D112" s="72"/>
      <c r="E112" s="120" t="s">
        <v>906</v>
      </c>
      <c r="F112" s="120"/>
      <c r="G112" s="132" t="s">
        <v>418</v>
      </c>
      <c r="H112" s="132" t="s">
        <v>520</v>
      </c>
      <c r="I112" s="132" t="s">
        <v>108</v>
      </c>
      <c r="J112" s="133" t="s">
        <v>419</v>
      </c>
      <c r="K112" s="134" t="s">
        <v>783</v>
      </c>
      <c r="L112" s="307">
        <f t="shared" si="25"/>
        <v>200000</v>
      </c>
      <c r="M112" s="308"/>
      <c r="N112" s="308">
        <v>200000</v>
      </c>
      <c r="O112" s="296"/>
      <c r="P112" s="296"/>
      <c r="Q112" s="296"/>
      <c r="R112" s="84"/>
      <c r="S112" s="70">
        <f t="shared" si="29"/>
        <v>0</v>
      </c>
      <c r="T112" s="70"/>
      <c r="U112" s="70">
        <v>200000</v>
      </c>
      <c r="V112" s="9" t="s">
        <v>521</v>
      </c>
      <c r="W112" s="19"/>
      <c r="X112" s="19">
        <v>200000</v>
      </c>
      <c r="Y112" s="67">
        <f t="shared" si="30"/>
        <v>0</v>
      </c>
      <c r="Z112" s="52"/>
      <c r="AA112" s="52"/>
      <c r="AB112" s="19"/>
      <c r="AC112" s="24">
        <f t="shared" si="31"/>
        <v>11109785.58</v>
      </c>
      <c r="AD112" s="19"/>
      <c r="AE112" s="19"/>
      <c r="AF112" s="19"/>
      <c r="AG112" s="19"/>
      <c r="AH112" s="19"/>
      <c r="AI112" s="14"/>
      <c r="AJ112" s="139">
        <v>5</v>
      </c>
      <c r="AK112" s="135" t="s">
        <v>272</v>
      </c>
      <c r="AL112" s="136">
        <v>5000000</v>
      </c>
      <c r="AM112" s="138">
        <v>5</v>
      </c>
    </row>
    <row r="113" spans="1:39" s="27" customFormat="1" ht="33">
      <c r="A113" s="34" t="s">
        <v>876</v>
      </c>
      <c r="B113" s="34"/>
      <c r="C113" s="72" t="s">
        <v>1182</v>
      </c>
      <c r="D113" s="72"/>
      <c r="E113" s="120" t="s">
        <v>906</v>
      </c>
      <c r="F113" s="120"/>
      <c r="G113" s="132" t="s">
        <v>418</v>
      </c>
      <c r="H113" s="132" t="s">
        <v>520</v>
      </c>
      <c r="I113" s="132" t="s">
        <v>108</v>
      </c>
      <c r="J113" s="133" t="s">
        <v>419</v>
      </c>
      <c r="K113" s="134" t="s">
        <v>524</v>
      </c>
      <c r="L113" s="307">
        <f t="shared" si="25"/>
        <v>11309785.58</v>
      </c>
      <c r="M113" s="308"/>
      <c r="N113" s="308">
        <v>11309785.58</v>
      </c>
      <c r="O113" s="296"/>
      <c r="P113" s="296"/>
      <c r="Q113" s="296"/>
      <c r="R113" s="84"/>
      <c r="S113" s="70">
        <f t="shared" si="29"/>
        <v>0</v>
      </c>
      <c r="T113" s="70"/>
      <c r="U113" s="70">
        <v>11309785.58</v>
      </c>
      <c r="V113" s="9" t="s">
        <v>521</v>
      </c>
      <c r="W113" s="19"/>
      <c r="X113" s="19">
        <v>1500000</v>
      </c>
      <c r="Y113" s="67">
        <f t="shared" si="30"/>
        <v>9809785.5800000001</v>
      </c>
      <c r="Z113" s="52"/>
      <c r="AA113" s="52"/>
      <c r="AB113" s="19"/>
      <c r="AC113" s="24">
        <f t="shared" si="31"/>
        <v>-9309785.5800000001</v>
      </c>
      <c r="AD113" s="19"/>
      <c r="AE113" s="19"/>
      <c r="AF113" s="19"/>
      <c r="AG113" s="19"/>
      <c r="AH113" s="19"/>
      <c r="AI113" s="14"/>
      <c r="AJ113" s="139">
        <v>100</v>
      </c>
      <c r="AK113" s="135" t="s">
        <v>347</v>
      </c>
      <c r="AL113" s="136">
        <v>13500000</v>
      </c>
      <c r="AM113" s="138">
        <v>35</v>
      </c>
    </row>
    <row r="114" spans="1:39" s="27" customFormat="1" ht="33" customHeight="1">
      <c r="A114" s="34" t="s">
        <v>876</v>
      </c>
      <c r="B114" s="34"/>
      <c r="C114" s="72" t="s">
        <v>1182</v>
      </c>
      <c r="D114" s="72"/>
      <c r="E114" s="120" t="s">
        <v>906</v>
      </c>
      <c r="F114" s="120"/>
      <c r="G114" s="132" t="s">
        <v>418</v>
      </c>
      <c r="H114" s="132" t="s">
        <v>520</v>
      </c>
      <c r="I114" s="132" t="s">
        <v>108</v>
      </c>
      <c r="J114" s="133" t="s">
        <v>419</v>
      </c>
      <c r="K114" s="134" t="s">
        <v>525</v>
      </c>
      <c r="L114" s="307">
        <f t="shared" si="25"/>
        <v>2000000</v>
      </c>
      <c r="M114" s="308"/>
      <c r="N114" s="308">
        <v>2000000</v>
      </c>
      <c r="O114" s="296"/>
      <c r="P114" s="296"/>
      <c r="Q114" s="296"/>
      <c r="R114" s="84"/>
      <c r="S114" s="70">
        <f t="shared" si="29"/>
        <v>0</v>
      </c>
      <c r="T114" s="70"/>
      <c r="U114" s="70">
        <v>2000000</v>
      </c>
      <c r="V114" s="9" t="s">
        <v>521</v>
      </c>
      <c r="W114" s="19"/>
      <c r="X114" s="19">
        <v>1500000</v>
      </c>
      <c r="Y114" s="67">
        <f t="shared" si="30"/>
        <v>500000</v>
      </c>
      <c r="Z114" s="52"/>
      <c r="AA114" s="52"/>
      <c r="AB114" s="19"/>
      <c r="AC114" s="24">
        <f t="shared" si="31"/>
        <v>5903127</v>
      </c>
      <c r="AD114" s="19"/>
      <c r="AE114" s="19"/>
      <c r="AF114" s="19"/>
      <c r="AG114" s="19"/>
      <c r="AH114" s="19"/>
      <c r="AI114" s="14"/>
      <c r="AJ114" s="139">
        <v>40</v>
      </c>
      <c r="AK114" s="135" t="s">
        <v>347</v>
      </c>
      <c r="AL114" s="136">
        <v>11925526</v>
      </c>
      <c r="AM114" s="138">
        <v>20</v>
      </c>
    </row>
    <row r="115" spans="1:39" s="27" customFormat="1" ht="33" customHeight="1">
      <c r="A115" s="34" t="s">
        <v>876</v>
      </c>
      <c r="B115" s="34"/>
      <c r="C115" s="72" t="s">
        <v>1182</v>
      </c>
      <c r="D115" s="72"/>
      <c r="E115" s="120" t="s">
        <v>903</v>
      </c>
      <c r="F115" s="120"/>
      <c r="G115" s="132" t="s">
        <v>418</v>
      </c>
      <c r="H115" s="132" t="s">
        <v>520</v>
      </c>
      <c r="I115" s="132" t="s">
        <v>108</v>
      </c>
      <c r="J115" s="133" t="s">
        <v>419</v>
      </c>
      <c r="K115" s="134" t="s">
        <v>526</v>
      </c>
      <c r="L115" s="307">
        <f t="shared" si="25"/>
        <v>7903127</v>
      </c>
      <c r="M115" s="308"/>
      <c r="N115" s="308">
        <v>7903127</v>
      </c>
      <c r="O115" s="296"/>
      <c r="P115" s="296"/>
      <c r="Q115" s="296"/>
      <c r="R115" s="84"/>
      <c r="S115" s="70">
        <f t="shared" si="29"/>
        <v>0</v>
      </c>
      <c r="T115" s="70"/>
      <c r="U115" s="70">
        <v>7903127</v>
      </c>
      <c r="V115" s="9" t="s">
        <v>521</v>
      </c>
      <c r="W115" s="19"/>
      <c r="X115" s="19">
        <v>1500000</v>
      </c>
      <c r="Y115" s="67">
        <f t="shared" si="30"/>
        <v>6403127</v>
      </c>
      <c r="Z115" s="52"/>
      <c r="AA115" s="52"/>
      <c r="AB115" s="19"/>
      <c r="AC115" s="24">
        <f t="shared" si="31"/>
        <v>-7683127</v>
      </c>
      <c r="AD115" s="19"/>
      <c r="AE115" s="19"/>
      <c r="AF115" s="19"/>
      <c r="AG115" s="19"/>
      <c r="AH115" s="19"/>
      <c r="AI115" s="14"/>
      <c r="AJ115" s="139">
        <v>100</v>
      </c>
      <c r="AK115" s="135" t="s">
        <v>366</v>
      </c>
      <c r="AL115" s="136">
        <v>13912854</v>
      </c>
      <c r="AM115" s="138">
        <v>65</v>
      </c>
    </row>
    <row r="116" spans="1:39" s="27" customFormat="1" ht="49.5" customHeight="1">
      <c r="A116" s="34" t="s">
        <v>876</v>
      </c>
      <c r="B116" s="34"/>
      <c r="C116" s="72" t="s">
        <v>1182</v>
      </c>
      <c r="D116" s="72"/>
      <c r="E116" s="120" t="s">
        <v>906</v>
      </c>
      <c r="F116" s="120"/>
      <c r="G116" s="132" t="s">
        <v>418</v>
      </c>
      <c r="H116" s="132" t="s">
        <v>520</v>
      </c>
      <c r="I116" s="132" t="s">
        <v>108</v>
      </c>
      <c r="J116" s="133" t="s">
        <v>419</v>
      </c>
      <c r="K116" s="134" t="s">
        <v>784</v>
      </c>
      <c r="L116" s="307">
        <f t="shared" si="25"/>
        <v>220000</v>
      </c>
      <c r="M116" s="308"/>
      <c r="N116" s="308">
        <v>220000</v>
      </c>
      <c r="O116" s="296"/>
      <c r="P116" s="296"/>
      <c r="Q116" s="296"/>
      <c r="R116" s="84"/>
      <c r="S116" s="70">
        <f t="shared" si="29"/>
        <v>0</v>
      </c>
      <c r="T116" s="70"/>
      <c r="U116" s="70">
        <v>220000</v>
      </c>
      <c r="V116" s="9" t="s">
        <v>521</v>
      </c>
      <c r="W116" s="19"/>
      <c r="X116" s="19">
        <v>220000</v>
      </c>
      <c r="Y116" s="67">
        <f t="shared" si="30"/>
        <v>0</v>
      </c>
      <c r="Z116" s="52"/>
      <c r="AA116" s="52"/>
      <c r="AB116" s="19"/>
      <c r="AC116" s="24">
        <f t="shared" si="31"/>
        <v>0</v>
      </c>
      <c r="AD116" s="19"/>
      <c r="AE116" s="19"/>
      <c r="AF116" s="19"/>
      <c r="AG116" s="19"/>
      <c r="AH116" s="19"/>
      <c r="AI116" s="14"/>
      <c r="AJ116" s="139">
        <v>5</v>
      </c>
      <c r="AK116" s="135" t="s">
        <v>331</v>
      </c>
      <c r="AL116" s="136">
        <v>12000000</v>
      </c>
      <c r="AM116" s="138">
        <v>5</v>
      </c>
    </row>
    <row r="117" spans="1:39" s="27" customFormat="1" ht="33">
      <c r="A117" s="34" t="s">
        <v>876</v>
      </c>
      <c r="B117" s="34"/>
      <c r="C117" s="72" t="s">
        <v>1182</v>
      </c>
      <c r="D117" s="72"/>
      <c r="E117" s="120" t="s">
        <v>903</v>
      </c>
      <c r="F117" s="120"/>
      <c r="G117" s="132" t="s">
        <v>418</v>
      </c>
      <c r="H117" s="132" t="s">
        <v>520</v>
      </c>
      <c r="I117" s="132" t="s">
        <v>108</v>
      </c>
      <c r="J117" s="133" t="s">
        <v>419</v>
      </c>
      <c r="K117" s="134" t="s">
        <v>785</v>
      </c>
      <c r="L117" s="307">
        <f t="shared" si="25"/>
        <v>220000</v>
      </c>
      <c r="M117" s="308"/>
      <c r="N117" s="308">
        <v>220000</v>
      </c>
      <c r="O117" s="296"/>
      <c r="P117" s="296"/>
      <c r="Q117" s="296"/>
      <c r="R117" s="84"/>
      <c r="S117" s="70">
        <f t="shared" si="29"/>
        <v>0</v>
      </c>
      <c r="T117" s="70"/>
      <c r="U117" s="70">
        <v>220000</v>
      </c>
      <c r="V117" s="9" t="s">
        <v>521</v>
      </c>
      <c r="W117" s="19"/>
      <c r="X117" s="67">
        <v>220000</v>
      </c>
      <c r="Y117" s="67">
        <f t="shared" si="30"/>
        <v>0</v>
      </c>
      <c r="Z117" s="52"/>
      <c r="AA117" s="52"/>
      <c r="AB117" s="19"/>
      <c r="AC117" s="24">
        <f t="shared" si="31"/>
        <v>160000</v>
      </c>
      <c r="AD117" s="19"/>
      <c r="AE117" s="19"/>
      <c r="AF117" s="19"/>
      <c r="AG117" s="19"/>
      <c r="AH117" s="19"/>
      <c r="AI117" s="14"/>
      <c r="AJ117" s="139">
        <v>5</v>
      </c>
      <c r="AK117" s="135" t="s">
        <v>331</v>
      </c>
      <c r="AL117" s="136">
        <v>12000000</v>
      </c>
      <c r="AM117" s="138">
        <v>5</v>
      </c>
    </row>
    <row r="118" spans="1:39" s="27" customFormat="1" ht="33">
      <c r="A118" s="34" t="s">
        <v>876</v>
      </c>
      <c r="B118" s="34"/>
      <c r="C118" s="72" t="s">
        <v>1182</v>
      </c>
      <c r="D118" s="72"/>
      <c r="E118" s="120" t="s">
        <v>905</v>
      </c>
      <c r="F118" s="120"/>
      <c r="G118" s="132" t="s">
        <v>418</v>
      </c>
      <c r="H118" s="132" t="s">
        <v>520</v>
      </c>
      <c r="I118" s="132" t="s">
        <v>108</v>
      </c>
      <c r="J118" s="133" t="s">
        <v>419</v>
      </c>
      <c r="K118" s="134" t="s">
        <v>1082</v>
      </c>
      <c r="L118" s="307">
        <f t="shared" si="25"/>
        <v>380000</v>
      </c>
      <c r="M118" s="308"/>
      <c r="N118" s="308">
        <v>380000</v>
      </c>
      <c r="O118" s="296"/>
      <c r="P118" s="296"/>
      <c r="Q118" s="296"/>
      <c r="R118" s="84"/>
      <c r="S118" s="70">
        <f t="shared" si="29"/>
        <v>0</v>
      </c>
      <c r="T118" s="70"/>
      <c r="U118" s="70">
        <v>380000</v>
      </c>
      <c r="V118" s="9" t="s">
        <v>521</v>
      </c>
      <c r="W118" s="19"/>
      <c r="X118" s="19">
        <v>380000</v>
      </c>
      <c r="Y118" s="67">
        <f t="shared" si="30"/>
        <v>0</v>
      </c>
      <c r="Z118" s="52"/>
      <c r="AA118" s="52"/>
      <c r="AB118" s="19"/>
      <c r="AC118" s="24">
        <f t="shared" si="31"/>
        <v>-160000</v>
      </c>
      <c r="AD118" s="19"/>
      <c r="AE118" s="19"/>
      <c r="AF118" s="19"/>
      <c r="AG118" s="19"/>
      <c r="AH118" s="19"/>
      <c r="AI118" s="14"/>
      <c r="AJ118" s="139">
        <v>5</v>
      </c>
      <c r="AK118" s="135" t="s">
        <v>272</v>
      </c>
      <c r="AL118" s="136">
        <v>17099000</v>
      </c>
      <c r="AM118" s="138">
        <v>5</v>
      </c>
    </row>
    <row r="119" spans="1:39" s="27" customFormat="1" ht="33">
      <c r="A119" s="34" t="s">
        <v>876</v>
      </c>
      <c r="B119" s="34"/>
      <c r="C119" s="72" t="s">
        <v>1182</v>
      </c>
      <c r="D119" s="72"/>
      <c r="E119" s="120" t="s">
        <v>905</v>
      </c>
      <c r="F119" s="120"/>
      <c r="G119" s="132" t="s">
        <v>418</v>
      </c>
      <c r="H119" s="132" t="s">
        <v>520</v>
      </c>
      <c r="I119" s="132" t="s">
        <v>108</v>
      </c>
      <c r="J119" s="133" t="s">
        <v>419</v>
      </c>
      <c r="K119" s="134" t="s">
        <v>1127</v>
      </c>
      <c r="L119" s="307">
        <f t="shared" si="25"/>
        <v>220000</v>
      </c>
      <c r="M119" s="308"/>
      <c r="N119" s="308">
        <v>220000</v>
      </c>
      <c r="O119" s="296"/>
      <c r="P119" s="296"/>
      <c r="Q119" s="296"/>
      <c r="R119" s="84"/>
      <c r="S119" s="70">
        <f t="shared" si="29"/>
        <v>0</v>
      </c>
      <c r="T119" s="70"/>
      <c r="U119" s="70">
        <v>220000</v>
      </c>
      <c r="V119" s="9" t="s">
        <v>521</v>
      </c>
      <c r="W119" s="19"/>
      <c r="X119" s="19">
        <v>220000</v>
      </c>
      <c r="Y119" s="67">
        <f t="shared" si="30"/>
        <v>0</v>
      </c>
      <c r="Z119" s="52"/>
      <c r="AA119" s="52"/>
      <c r="AB119" s="19"/>
      <c r="AC119" s="24">
        <f t="shared" si="31"/>
        <v>-170000</v>
      </c>
      <c r="AD119" s="19"/>
      <c r="AE119" s="19"/>
      <c r="AF119" s="19"/>
      <c r="AG119" s="19"/>
      <c r="AH119" s="19"/>
      <c r="AI119" s="14"/>
      <c r="AJ119" s="139">
        <v>5</v>
      </c>
      <c r="AK119" s="135" t="s">
        <v>272</v>
      </c>
      <c r="AL119" s="136">
        <v>2000000</v>
      </c>
      <c r="AM119" s="138">
        <v>5</v>
      </c>
    </row>
    <row r="120" spans="1:39" s="27" customFormat="1" ht="33">
      <c r="A120" s="34" t="s">
        <v>876</v>
      </c>
      <c r="B120" s="34"/>
      <c r="C120" s="72" t="s">
        <v>1182</v>
      </c>
      <c r="D120" s="72"/>
      <c r="E120" s="120" t="s">
        <v>905</v>
      </c>
      <c r="F120" s="120"/>
      <c r="G120" s="132" t="s">
        <v>418</v>
      </c>
      <c r="H120" s="132" t="s">
        <v>520</v>
      </c>
      <c r="I120" s="132" t="s">
        <v>108</v>
      </c>
      <c r="J120" s="133" t="s">
        <v>419</v>
      </c>
      <c r="K120" s="134" t="s">
        <v>786</v>
      </c>
      <c r="L120" s="307">
        <f t="shared" si="25"/>
        <v>50000</v>
      </c>
      <c r="M120" s="308"/>
      <c r="N120" s="308">
        <v>50000</v>
      </c>
      <c r="O120" s="296"/>
      <c r="P120" s="296"/>
      <c r="Q120" s="296"/>
      <c r="R120" s="84"/>
      <c r="S120" s="70">
        <f t="shared" si="29"/>
        <v>0</v>
      </c>
      <c r="T120" s="70"/>
      <c r="U120" s="70">
        <v>50000</v>
      </c>
      <c r="V120" s="9" t="s">
        <v>521</v>
      </c>
      <c r="W120" s="19"/>
      <c r="X120" s="19">
        <v>50000</v>
      </c>
      <c r="Y120" s="67">
        <f t="shared" si="30"/>
        <v>0</v>
      </c>
      <c r="Z120" s="52"/>
      <c r="AA120" s="52"/>
      <c r="AB120" s="19"/>
      <c r="AC120" s="24">
        <f t="shared" si="31"/>
        <v>170000</v>
      </c>
      <c r="AD120" s="19"/>
      <c r="AE120" s="19"/>
      <c r="AF120" s="19"/>
      <c r="AG120" s="19"/>
      <c r="AH120" s="19"/>
      <c r="AI120" s="14"/>
      <c r="AJ120" s="139">
        <v>5</v>
      </c>
      <c r="AK120" s="135" t="s">
        <v>272</v>
      </c>
      <c r="AL120" s="136">
        <v>4050000</v>
      </c>
      <c r="AM120" s="138">
        <v>5</v>
      </c>
    </row>
    <row r="121" spans="1:39" s="27" customFormat="1" ht="33">
      <c r="A121" s="34" t="s">
        <v>876</v>
      </c>
      <c r="B121" s="34"/>
      <c r="C121" s="72" t="s">
        <v>1182</v>
      </c>
      <c r="D121" s="72"/>
      <c r="E121" s="120" t="s">
        <v>905</v>
      </c>
      <c r="F121" s="120"/>
      <c r="G121" s="132" t="s">
        <v>418</v>
      </c>
      <c r="H121" s="132" t="s">
        <v>520</v>
      </c>
      <c r="I121" s="132" t="s">
        <v>108</v>
      </c>
      <c r="J121" s="133" t="s">
        <v>419</v>
      </c>
      <c r="K121" s="134" t="s">
        <v>812</v>
      </c>
      <c r="L121" s="307">
        <f t="shared" si="25"/>
        <v>220000</v>
      </c>
      <c r="M121" s="308"/>
      <c r="N121" s="308">
        <v>220000</v>
      </c>
      <c r="O121" s="309"/>
      <c r="P121" s="309"/>
      <c r="Q121" s="309"/>
      <c r="R121" s="84"/>
      <c r="S121" s="70">
        <f t="shared" si="29"/>
        <v>0</v>
      </c>
      <c r="T121" s="70"/>
      <c r="U121" s="70">
        <v>220000</v>
      </c>
      <c r="V121" s="9" t="s">
        <v>521</v>
      </c>
      <c r="W121" s="19"/>
      <c r="X121" s="19">
        <v>220000</v>
      </c>
      <c r="Y121" s="67">
        <f t="shared" si="30"/>
        <v>0</v>
      </c>
      <c r="Z121" s="52"/>
      <c r="AA121" s="52"/>
      <c r="AB121" s="19"/>
      <c r="AC121" s="24">
        <f t="shared" si="31"/>
        <v>6280000</v>
      </c>
      <c r="AD121" s="19"/>
      <c r="AE121" s="19"/>
      <c r="AF121" s="19"/>
      <c r="AG121" s="19"/>
      <c r="AH121" s="19"/>
      <c r="AI121" s="14"/>
      <c r="AJ121" s="139">
        <v>5</v>
      </c>
      <c r="AK121" s="135" t="s">
        <v>272</v>
      </c>
      <c r="AL121" s="136">
        <v>3000000</v>
      </c>
      <c r="AM121" s="138">
        <v>5</v>
      </c>
    </row>
    <row r="122" spans="1:39" s="27" customFormat="1" ht="49.5" customHeight="1">
      <c r="A122" s="34" t="s">
        <v>876</v>
      </c>
      <c r="B122" s="34"/>
      <c r="C122" s="119" t="s">
        <v>1184</v>
      </c>
      <c r="D122" s="119"/>
      <c r="E122" s="121" t="s">
        <v>902</v>
      </c>
      <c r="F122" s="121"/>
      <c r="G122" s="132" t="s">
        <v>418</v>
      </c>
      <c r="H122" s="132" t="s">
        <v>520</v>
      </c>
      <c r="I122" s="132" t="s">
        <v>108</v>
      </c>
      <c r="J122" s="133" t="s">
        <v>419</v>
      </c>
      <c r="K122" s="134" t="s">
        <v>989</v>
      </c>
      <c r="L122" s="307">
        <f t="shared" si="25"/>
        <v>6500000</v>
      </c>
      <c r="M122" s="308"/>
      <c r="N122" s="308">
        <f>1500000+5000000</f>
        <v>6500000</v>
      </c>
      <c r="O122" s="309"/>
      <c r="P122" s="309"/>
      <c r="Q122" s="309"/>
      <c r="R122" s="117"/>
      <c r="S122" s="70">
        <f t="shared" si="29"/>
        <v>5000000</v>
      </c>
      <c r="T122" s="70"/>
      <c r="U122" s="70">
        <v>1500000</v>
      </c>
      <c r="V122" s="9" t="s">
        <v>521</v>
      </c>
      <c r="W122" s="19"/>
      <c r="X122" s="19">
        <v>500000</v>
      </c>
      <c r="Y122" s="67">
        <f t="shared" si="30"/>
        <v>6000000</v>
      </c>
      <c r="Z122" s="52"/>
      <c r="AA122" s="52"/>
      <c r="AB122" s="19"/>
      <c r="AC122" s="24">
        <f t="shared" si="31"/>
        <v>-2500000</v>
      </c>
      <c r="AD122" s="19"/>
      <c r="AE122" s="19"/>
      <c r="AF122" s="19"/>
      <c r="AG122" s="19"/>
      <c r="AH122" s="19"/>
      <c r="AI122" s="14"/>
      <c r="AJ122" s="139">
        <v>15</v>
      </c>
      <c r="AK122" s="135" t="s">
        <v>402</v>
      </c>
      <c r="AL122" s="136">
        <v>63468732</v>
      </c>
      <c r="AM122" s="138">
        <v>10</v>
      </c>
    </row>
    <row r="123" spans="1:39" s="27" customFormat="1" ht="33" customHeight="1">
      <c r="A123" s="34" t="s">
        <v>876</v>
      </c>
      <c r="B123" s="34"/>
      <c r="C123" s="119" t="s">
        <v>1184</v>
      </c>
      <c r="D123" s="119"/>
      <c r="E123" s="121" t="s">
        <v>906</v>
      </c>
      <c r="F123" s="121"/>
      <c r="G123" s="132" t="s">
        <v>418</v>
      </c>
      <c r="H123" s="132" t="s">
        <v>520</v>
      </c>
      <c r="I123" s="132" t="s">
        <v>108</v>
      </c>
      <c r="J123" s="133" t="s">
        <v>419</v>
      </c>
      <c r="K123" s="134" t="s">
        <v>787</v>
      </c>
      <c r="L123" s="307">
        <f t="shared" si="25"/>
        <v>4000000</v>
      </c>
      <c r="M123" s="308"/>
      <c r="N123" s="308">
        <v>4000000</v>
      </c>
      <c r="O123" s="309"/>
      <c r="P123" s="309"/>
      <c r="Q123" s="309"/>
      <c r="R123" s="84"/>
      <c r="S123" s="70">
        <f t="shared" si="29"/>
        <v>0</v>
      </c>
      <c r="T123" s="70"/>
      <c r="U123" s="70">
        <v>4000000</v>
      </c>
      <c r="V123" s="9" t="s">
        <v>521</v>
      </c>
      <c r="W123" s="19" t="s">
        <v>273</v>
      </c>
      <c r="X123" s="19">
        <v>1500000</v>
      </c>
      <c r="Y123" s="67">
        <f t="shared" si="30"/>
        <v>2500000</v>
      </c>
      <c r="Z123" s="52"/>
      <c r="AA123" s="52"/>
      <c r="AB123" s="19"/>
      <c r="AC123" s="24">
        <f t="shared" si="31"/>
        <v>-1550000</v>
      </c>
      <c r="AD123" s="19"/>
      <c r="AE123" s="19"/>
      <c r="AF123" s="19"/>
      <c r="AG123" s="19"/>
      <c r="AH123" s="19"/>
      <c r="AI123" s="14"/>
      <c r="AJ123" s="139">
        <v>50</v>
      </c>
      <c r="AK123" s="135" t="s">
        <v>413</v>
      </c>
      <c r="AL123" s="136">
        <v>20306268.25</v>
      </c>
      <c r="AM123" s="138">
        <v>20</v>
      </c>
    </row>
    <row r="124" spans="1:39" s="27" customFormat="1" ht="33" customHeight="1">
      <c r="A124" s="34" t="s">
        <v>876</v>
      </c>
      <c r="B124" s="34"/>
      <c r="C124" s="119" t="s">
        <v>1184</v>
      </c>
      <c r="D124" s="119"/>
      <c r="E124" s="121" t="s">
        <v>905</v>
      </c>
      <c r="F124" s="121"/>
      <c r="G124" s="132" t="s">
        <v>418</v>
      </c>
      <c r="H124" s="132" t="s">
        <v>520</v>
      </c>
      <c r="I124" s="132" t="s">
        <v>108</v>
      </c>
      <c r="J124" s="133" t="s">
        <v>419</v>
      </c>
      <c r="K124" s="134" t="s">
        <v>527</v>
      </c>
      <c r="L124" s="307">
        <f t="shared" si="25"/>
        <v>2450000</v>
      </c>
      <c r="M124" s="308"/>
      <c r="N124" s="308">
        <v>2450000</v>
      </c>
      <c r="O124" s="309"/>
      <c r="P124" s="309"/>
      <c r="Q124" s="309"/>
      <c r="R124" s="84"/>
      <c r="S124" s="70">
        <f t="shared" si="29"/>
        <v>0</v>
      </c>
      <c r="T124" s="70"/>
      <c r="U124" s="70">
        <v>2450000</v>
      </c>
      <c r="V124" s="9" t="s">
        <v>521</v>
      </c>
      <c r="W124" s="19"/>
      <c r="X124" s="19">
        <v>450000</v>
      </c>
      <c r="Y124" s="67">
        <f t="shared" si="30"/>
        <v>2000000</v>
      </c>
      <c r="Z124" s="52"/>
      <c r="AA124" s="52"/>
      <c r="AB124" s="19"/>
      <c r="AC124" s="24">
        <f t="shared" si="31"/>
        <v>-2400000</v>
      </c>
      <c r="AD124" s="19"/>
      <c r="AE124" s="19"/>
      <c r="AF124" s="19"/>
      <c r="AG124" s="19"/>
      <c r="AH124" s="19"/>
      <c r="AI124" s="14"/>
      <c r="AJ124" s="139">
        <v>30</v>
      </c>
      <c r="AK124" s="135" t="s">
        <v>366</v>
      </c>
      <c r="AL124" s="136">
        <v>25026141.52</v>
      </c>
      <c r="AM124" s="138">
        <v>25</v>
      </c>
    </row>
    <row r="125" spans="1:39" s="27" customFormat="1" ht="49.5" customHeight="1">
      <c r="A125" s="34" t="s">
        <v>876</v>
      </c>
      <c r="B125" s="34"/>
      <c r="C125" s="119" t="s">
        <v>1184</v>
      </c>
      <c r="D125" s="119"/>
      <c r="E125" s="121" t="s">
        <v>902</v>
      </c>
      <c r="F125" s="121"/>
      <c r="G125" s="132" t="s">
        <v>418</v>
      </c>
      <c r="H125" s="132" t="s">
        <v>520</v>
      </c>
      <c r="I125" s="132" t="s">
        <v>108</v>
      </c>
      <c r="J125" s="133" t="s">
        <v>419</v>
      </c>
      <c r="K125" s="134" t="s">
        <v>528</v>
      </c>
      <c r="L125" s="307">
        <f t="shared" si="25"/>
        <v>50000</v>
      </c>
      <c r="M125" s="308"/>
      <c r="N125" s="308">
        <v>50000</v>
      </c>
      <c r="O125" s="309"/>
      <c r="P125" s="309"/>
      <c r="Q125" s="309"/>
      <c r="R125" s="84"/>
      <c r="S125" s="70">
        <f t="shared" si="29"/>
        <v>0</v>
      </c>
      <c r="T125" s="70"/>
      <c r="U125" s="70">
        <v>50000</v>
      </c>
      <c r="V125" s="9" t="s">
        <v>521</v>
      </c>
      <c r="W125" s="19"/>
      <c r="X125" s="19"/>
      <c r="Y125" s="67">
        <f t="shared" si="30"/>
        <v>50000</v>
      </c>
      <c r="Z125" s="52"/>
      <c r="AA125" s="52"/>
      <c r="AB125" s="19"/>
      <c r="AC125" s="24">
        <f t="shared" si="31"/>
        <v>1450000</v>
      </c>
      <c r="AD125" s="19"/>
      <c r="AE125" s="19"/>
      <c r="AF125" s="19"/>
      <c r="AG125" s="19"/>
      <c r="AH125" s="19"/>
      <c r="AI125" s="14"/>
      <c r="AJ125" s="139">
        <v>5</v>
      </c>
      <c r="AK125" s="135" t="s">
        <v>272</v>
      </c>
      <c r="AL125" s="136">
        <v>6782826</v>
      </c>
      <c r="AM125" s="138">
        <v>5</v>
      </c>
    </row>
    <row r="126" spans="1:39" s="27" customFormat="1" ht="33" customHeight="1">
      <c r="A126" s="34" t="s">
        <v>876</v>
      </c>
      <c r="B126" s="34"/>
      <c r="C126" s="119" t="s">
        <v>1184</v>
      </c>
      <c r="D126" s="119"/>
      <c r="E126" s="121" t="s">
        <v>905</v>
      </c>
      <c r="F126" s="121"/>
      <c r="G126" s="132" t="s">
        <v>418</v>
      </c>
      <c r="H126" s="132" t="s">
        <v>520</v>
      </c>
      <c r="I126" s="132" t="s">
        <v>108</v>
      </c>
      <c r="J126" s="133" t="s">
        <v>419</v>
      </c>
      <c r="K126" s="134" t="s">
        <v>1049</v>
      </c>
      <c r="L126" s="307">
        <f t="shared" si="25"/>
        <v>1500000</v>
      </c>
      <c r="M126" s="308"/>
      <c r="N126" s="308">
        <f>500000+1000000</f>
        <v>1500000</v>
      </c>
      <c r="O126" s="309"/>
      <c r="P126" s="309"/>
      <c r="Q126" s="309"/>
      <c r="R126" s="117"/>
      <c r="S126" s="70">
        <f t="shared" si="29"/>
        <v>1000000</v>
      </c>
      <c r="T126" s="70"/>
      <c r="U126" s="70">
        <v>500000</v>
      </c>
      <c r="V126" s="9" t="s">
        <v>521</v>
      </c>
      <c r="W126" s="19"/>
      <c r="X126" s="19"/>
      <c r="Y126" s="67">
        <f t="shared" si="30"/>
        <v>1500000</v>
      </c>
      <c r="Z126" s="52"/>
      <c r="AA126" s="52"/>
      <c r="AB126" s="19"/>
      <c r="AC126" s="24">
        <f t="shared" si="31"/>
        <v>-709586.38</v>
      </c>
      <c r="AD126" s="19"/>
      <c r="AE126" s="19"/>
      <c r="AF126" s="19"/>
      <c r="AG126" s="19"/>
      <c r="AH126" s="19"/>
      <c r="AI126" s="14"/>
      <c r="AJ126" s="139">
        <v>75</v>
      </c>
      <c r="AK126" s="135" t="s">
        <v>413</v>
      </c>
      <c r="AL126" s="136">
        <v>17302693</v>
      </c>
      <c r="AM126" s="138">
        <v>70</v>
      </c>
    </row>
    <row r="127" spans="1:39" s="27" customFormat="1" ht="33" customHeight="1">
      <c r="A127" s="34" t="s">
        <v>876</v>
      </c>
      <c r="B127" s="34"/>
      <c r="C127" s="119" t="s">
        <v>1184</v>
      </c>
      <c r="D127" s="119"/>
      <c r="E127" s="121" t="s">
        <v>905</v>
      </c>
      <c r="F127" s="121"/>
      <c r="G127" s="132" t="s">
        <v>418</v>
      </c>
      <c r="H127" s="132" t="s">
        <v>520</v>
      </c>
      <c r="I127" s="132" t="s">
        <v>108</v>
      </c>
      <c r="J127" s="133" t="s">
        <v>419</v>
      </c>
      <c r="K127" s="134" t="s">
        <v>529</v>
      </c>
      <c r="L127" s="307">
        <f t="shared" si="25"/>
        <v>790413.62</v>
      </c>
      <c r="M127" s="308"/>
      <c r="N127" s="308">
        <v>790413.62</v>
      </c>
      <c r="O127" s="309"/>
      <c r="P127" s="309"/>
      <c r="Q127" s="309"/>
      <c r="R127" s="84"/>
      <c r="S127" s="70">
        <f t="shared" si="29"/>
        <v>0</v>
      </c>
      <c r="T127" s="70"/>
      <c r="U127" s="70">
        <v>790413.62</v>
      </c>
      <c r="V127" s="9" t="s">
        <v>521</v>
      </c>
      <c r="W127" s="19"/>
      <c r="X127" s="19"/>
      <c r="Y127" s="67">
        <f t="shared" si="30"/>
        <v>790413.62</v>
      </c>
      <c r="Z127" s="52"/>
      <c r="AA127" s="52"/>
      <c r="AB127" s="19"/>
      <c r="AC127" s="24">
        <f t="shared" si="31"/>
        <v>17209586.379999999</v>
      </c>
      <c r="AD127" s="19"/>
      <c r="AE127" s="19"/>
      <c r="AF127" s="19"/>
      <c r="AG127" s="19"/>
      <c r="AH127" s="19"/>
      <c r="AI127" s="14"/>
      <c r="AJ127" s="139">
        <v>100</v>
      </c>
      <c r="AK127" s="135" t="s">
        <v>271</v>
      </c>
      <c r="AL127" s="136">
        <v>2140000</v>
      </c>
      <c r="AM127" s="138">
        <v>50</v>
      </c>
    </row>
    <row r="128" spans="1:39" s="27" customFormat="1" ht="33">
      <c r="A128" s="34" t="s">
        <v>876</v>
      </c>
      <c r="B128" s="34"/>
      <c r="C128" s="119" t="s">
        <v>1184</v>
      </c>
      <c r="D128" s="119"/>
      <c r="E128" s="121" t="s">
        <v>903</v>
      </c>
      <c r="F128" s="121"/>
      <c r="G128" s="132" t="s">
        <v>418</v>
      </c>
      <c r="H128" s="132" t="s">
        <v>520</v>
      </c>
      <c r="I128" s="132" t="s">
        <v>108</v>
      </c>
      <c r="J128" s="133" t="s">
        <v>419</v>
      </c>
      <c r="K128" s="134" t="s">
        <v>530</v>
      </c>
      <c r="L128" s="307">
        <f t="shared" si="25"/>
        <v>18000000</v>
      </c>
      <c r="M128" s="308"/>
      <c r="N128" s="308">
        <v>18000000</v>
      </c>
      <c r="O128" s="309"/>
      <c r="P128" s="309"/>
      <c r="Q128" s="309"/>
      <c r="R128" s="84"/>
      <c r="S128" s="70">
        <f t="shared" si="29"/>
        <v>0</v>
      </c>
      <c r="T128" s="70"/>
      <c r="U128" s="70">
        <v>18000000</v>
      </c>
      <c r="V128" s="9" t="s">
        <v>521</v>
      </c>
      <c r="W128" s="19"/>
      <c r="X128" s="19">
        <v>4000000</v>
      </c>
      <c r="Y128" s="67">
        <f t="shared" si="30"/>
        <v>14000000</v>
      </c>
      <c r="Z128" s="52"/>
      <c r="AA128" s="52"/>
      <c r="AB128" s="19"/>
      <c r="AC128" s="24">
        <f t="shared" si="31"/>
        <v>-8000000</v>
      </c>
      <c r="AD128" s="19"/>
      <c r="AE128" s="19"/>
      <c r="AF128" s="19"/>
      <c r="AG128" s="19"/>
      <c r="AH128" s="19"/>
      <c r="AI128" s="14"/>
      <c r="AJ128" s="139">
        <v>100</v>
      </c>
      <c r="AK128" s="135" t="s">
        <v>751</v>
      </c>
      <c r="AL128" s="136">
        <v>37102011</v>
      </c>
      <c r="AM128" s="138">
        <v>70</v>
      </c>
    </row>
    <row r="129" spans="1:39" s="27" customFormat="1" ht="33">
      <c r="A129" s="34" t="s">
        <v>876</v>
      </c>
      <c r="B129" s="34"/>
      <c r="C129" s="119" t="s">
        <v>1184</v>
      </c>
      <c r="D129" s="119"/>
      <c r="E129" s="121" t="s">
        <v>902</v>
      </c>
      <c r="F129" s="121"/>
      <c r="G129" s="132" t="s">
        <v>418</v>
      </c>
      <c r="H129" s="132" t="s">
        <v>520</v>
      </c>
      <c r="I129" s="132" t="s">
        <v>108</v>
      </c>
      <c r="J129" s="133" t="s">
        <v>419</v>
      </c>
      <c r="K129" s="134" t="s">
        <v>813</v>
      </c>
      <c r="L129" s="307">
        <f t="shared" si="25"/>
        <v>10000000</v>
      </c>
      <c r="M129" s="308"/>
      <c r="N129" s="308">
        <f>5000000+5000000</f>
        <v>10000000</v>
      </c>
      <c r="O129" s="309"/>
      <c r="P129" s="309"/>
      <c r="Q129" s="309"/>
      <c r="R129" s="117"/>
      <c r="S129" s="70">
        <f t="shared" si="29"/>
        <v>5000000</v>
      </c>
      <c r="T129" s="70"/>
      <c r="U129" s="70">
        <v>5000000</v>
      </c>
      <c r="V129" s="9" t="s">
        <v>521</v>
      </c>
      <c r="W129" s="19"/>
      <c r="X129" s="19">
        <v>2000000</v>
      </c>
      <c r="Y129" s="67">
        <f t="shared" si="30"/>
        <v>8000000</v>
      </c>
      <c r="Z129" s="52"/>
      <c r="AA129" s="52"/>
      <c r="AB129" s="19"/>
      <c r="AC129" s="24">
        <f t="shared" si="31"/>
        <v>-9700000</v>
      </c>
      <c r="AD129" s="19"/>
      <c r="AE129" s="19"/>
      <c r="AF129" s="19"/>
      <c r="AG129" s="19"/>
      <c r="AH129" s="19"/>
      <c r="AI129" s="14"/>
      <c r="AJ129" s="139">
        <v>75</v>
      </c>
      <c r="AK129" s="135" t="s">
        <v>366</v>
      </c>
      <c r="AL129" s="136">
        <v>29119285</v>
      </c>
      <c r="AM129" s="138">
        <v>50</v>
      </c>
    </row>
    <row r="130" spans="1:39" s="27" customFormat="1" ht="33">
      <c r="A130" s="34" t="s">
        <v>876</v>
      </c>
      <c r="B130" s="34"/>
      <c r="C130" s="119" t="s">
        <v>1185</v>
      </c>
      <c r="D130" s="119"/>
      <c r="E130" s="121" t="s">
        <v>904</v>
      </c>
      <c r="F130" s="121"/>
      <c r="G130" s="132" t="s">
        <v>418</v>
      </c>
      <c r="H130" s="132" t="s">
        <v>520</v>
      </c>
      <c r="I130" s="132" t="s">
        <v>108</v>
      </c>
      <c r="J130" s="133" t="s">
        <v>419</v>
      </c>
      <c r="K130" s="134" t="s">
        <v>1247</v>
      </c>
      <c r="L130" s="307">
        <f t="shared" si="25"/>
        <v>300000</v>
      </c>
      <c r="M130" s="308"/>
      <c r="N130" s="308">
        <v>300000</v>
      </c>
      <c r="O130" s="309"/>
      <c r="P130" s="309"/>
      <c r="Q130" s="309"/>
      <c r="R130" s="84"/>
      <c r="S130" s="70">
        <f t="shared" si="29"/>
        <v>0</v>
      </c>
      <c r="T130" s="70"/>
      <c r="U130" s="70">
        <v>300000</v>
      </c>
      <c r="V130" s="9" t="s">
        <v>521</v>
      </c>
      <c r="W130" s="19"/>
      <c r="X130" s="19"/>
      <c r="Y130" s="67">
        <f t="shared" si="30"/>
        <v>300000</v>
      </c>
      <c r="Z130" s="52"/>
      <c r="AA130" s="52"/>
      <c r="AB130" s="19"/>
      <c r="AC130" s="24">
        <f t="shared" si="31"/>
        <v>0</v>
      </c>
      <c r="AD130" s="19"/>
      <c r="AE130" s="19"/>
      <c r="AF130" s="19"/>
      <c r="AG130" s="19"/>
      <c r="AH130" s="19"/>
      <c r="AI130" s="14"/>
      <c r="AJ130" s="139"/>
      <c r="AK130" s="135">
        <v>2021</v>
      </c>
      <c r="AL130" s="136">
        <v>300000</v>
      </c>
      <c r="AM130" s="138"/>
    </row>
    <row r="131" spans="1:39" s="27" customFormat="1" ht="33">
      <c r="A131" s="34" t="s">
        <v>876</v>
      </c>
      <c r="B131" s="34"/>
      <c r="C131" s="119" t="s">
        <v>1185</v>
      </c>
      <c r="D131" s="119"/>
      <c r="E131" s="121" t="s">
        <v>906</v>
      </c>
      <c r="F131" s="121"/>
      <c r="G131" s="132" t="s">
        <v>418</v>
      </c>
      <c r="H131" s="132" t="s">
        <v>520</v>
      </c>
      <c r="I131" s="132" t="s">
        <v>108</v>
      </c>
      <c r="J131" s="133" t="s">
        <v>419</v>
      </c>
      <c r="K131" s="134" t="s">
        <v>788</v>
      </c>
      <c r="L131" s="307">
        <f t="shared" ref="L131:L194" si="32">SUM(M131:Q131)</f>
        <v>300000</v>
      </c>
      <c r="M131" s="308"/>
      <c r="N131" s="308">
        <v>300000</v>
      </c>
      <c r="O131" s="309"/>
      <c r="P131" s="309"/>
      <c r="Q131" s="309"/>
      <c r="R131" s="84"/>
      <c r="S131" s="70">
        <f t="shared" si="29"/>
        <v>0</v>
      </c>
      <c r="T131" s="70"/>
      <c r="U131" s="70">
        <v>300000</v>
      </c>
      <c r="V131" s="9" t="s">
        <v>756</v>
      </c>
      <c r="W131" s="19" t="s">
        <v>273</v>
      </c>
      <c r="X131" s="19"/>
      <c r="Y131" s="67">
        <f t="shared" si="30"/>
        <v>300000</v>
      </c>
      <c r="Z131" s="52"/>
      <c r="AA131" s="52"/>
      <c r="AB131" s="19">
        <v>300000</v>
      </c>
      <c r="AC131" s="24">
        <f t="shared" si="31"/>
        <v>300000</v>
      </c>
      <c r="AD131" s="19"/>
      <c r="AE131" s="19"/>
      <c r="AF131" s="19"/>
      <c r="AG131" s="19"/>
      <c r="AH131" s="19"/>
      <c r="AI131" s="14"/>
      <c r="AJ131" s="139"/>
      <c r="AK131" s="135">
        <v>2021</v>
      </c>
      <c r="AL131" s="136">
        <v>300000</v>
      </c>
      <c r="AM131" s="138"/>
    </row>
    <row r="132" spans="1:39" s="27" customFormat="1" ht="33">
      <c r="A132" s="34" t="s">
        <v>876</v>
      </c>
      <c r="B132" s="34"/>
      <c r="C132" s="119" t="s">
        <v>1185</v>
      </c>
      <c r="D132" s="119"/>
      <c r="E132" s="121" t="s">
        <v>902</v>
      </c>
      <c r="F132" s="121"/>
      <c r="G132" s="132" t="s">
        <v>418</v>
      </c>
      <c r="H132" s="132" t="s">
        <v>520</v>
      </c>
      <c r="I132" s="132" t="s">
        <v>108</v>
      </c>
      <c r="J132" s="133" t="s">
        <v>419</v>
      </c>
      <c r="K132" s="134" t="s">
        <v>1083</v>
      </c>
      <c r="L132" s="307">
        <f t="shared" si="32"/>
        <v>300000</v>
      </c>
      <c r="M132" s="308"/>
      <c r="N132" s="308">
        <v>300000</v>
      </c>
      <c r="O132" s="309"/>
      <c r="P132" s="309"/>
      <c r="Q132" s="309"/>
      <c r="R132" s="84"/>
      <c r="S132" s="70">
        <f t="shared" si="29"/>
        <v>0</v>
      </c>
      <c r="T132" s="70"/>
      <c r="U132" s="70">
        <v>300000</v>
      </c>
      <c r="V132" s="9" t="s">
        <v>756</v>
      </c>
      <c r="W132" s="19" t="s">
        <v>273</v>
      </c>
      <c r="X132" s="19"/>
      <c r="Y132" s="67">
        <f t="shared" si="30"/>
        <v>300000</v>
      </c>
      <c r="Z132" s="52"/>
      <c r="AA132" s="52"/>
      <c r="AB132" s="19">
        <v>300000</v>
      </c>
      <c r="AC132" s="24">
        <f t="shared" si="31"/>
        <v>300000</v>
      </c>
      <c r="AD132" s="19"/>
      <c r="AE132" s="19"/>
      <c r="AF132" s="19"/>
      <c r="AG132" s="19"/>
      <c r="AH132" s="19"/>
      <c r="AI132" s="14"/>
      <c r="AJ132" s="139"/>
      <c r="AK132" s="135">
        <v>2021</v>
      </c>
      <c r="AL132" s="136">
        <v>300000</v>
      </c>
      <c r="AM132" s="138"/>
    </row>
    <row r="133" spans="1:39" s="27" customFormat="1" ht="33">
      <c r="A133" s="34" t="s">
        <v>876</v>
      </c>
      <c r="B133" s="34"/>
      <c r="C133" s="119" t="s">
        <v>1185</v>
      </c>
      <c r="D133" s="119"/>
      <c r="E133" s="121" t="s">
        <v>905</v>
      </c>
      <c r="F133" s="121"/>
      <c r="G133" s="132" t="s">
        <v>418</v>
      </c>
      <c r="H133" s="132" t="s">
        <v>520</v>
      </c>
      <c r="I133" s="132" t="s">
        <v>108</v>
      </c>
      <c r="J133" s="133" t="s">
        <v>419</v>
      </c>
      <c r="K133" s="134" t="s">
        <v>1084</v>
      </c>
      <c r="L133" s="307">
        <f t="shared" si="32"/>
        <v>300000</v>
      </c>
      <c r="M133" s="308"/>
      <c r="N133" s="308">
        <v>300000</v>
      </c>
      <c r="O133" s="309"/>
      <c r="P133" s="309"/>
      <c r="Q133" s="309"/>
      <c r="R133" s="84"/>
      <c r="S133" s="70">
        <f t="shared" si="29"/>
        <v>0</v>
      </c>
      <c r="T133" s="70"/>
      <c r="U133" s="70">
        <v>300000</v>
      </c>
      <c r="V133" s="9" t="s">
        <v>756</v>
      </c>
      <c r="W133" s="19" t="s">
        <v>273</v>
      </c>
      <c r="X133" s="19"/>
      <c r="Y133" s="67">
        <f t="shared" si="30"/>
        <v>300000</v>
      </c>
      <c r="Z133" s="52"/>
      <c r="AA133" s="52"/>
      <c r="AB133" s="19">
        <v>300000</v>
      </c>
      <c r="AC133" s="24">
        <f t="shared" si="31"/>
        <v>300000</v>
      </c>
      <c r="AD133" s="19"/>
      <c r="AE133" s="19"/>
      <c r="AF133" s="19"/>
      <c r="AG133" s="19"/>
      <c r="AH133" s="19"/>
      <c r="AI133" s="14"/>
      <c r="AJ133" s="139"/>
      <c r="AK133" s="135">
        <v>2021</v>
      </c>
      <c r="AL133" s="136">
        <v>300000</v>
      </c>
      <c r="AM133" s="138"/>
    </row>
    <row r="134" spans="1:39" s="27" customFormat="1" ht="33">
      <c r="A134" s="34" t="s">
        <v>876</v>
      </c>
      <c r="B134" s="34"/>
      <c r="C134" s="119" t="s">
        <v>1185</v>
      </c>
      <c r="D134" s="119"/>
      <c r="E134" s="121" t="s">
        <v>1230</v>
      </c>
      <c r="F134" s="121"/>
      <c r="G134" s="132" t="s">
        <v>418</v>
      </c>
      <c r="H134" s="132" t="s">
        <v>520</v>
      </c>
      <c r="I134" s="132" t="s">
        <v>108</v>
      </c>
      <c r="J134" s="133" t="s">
        <v>419</v>
      </c>
      <c r="K134" s="134" t="s">
        <v>531</v>
      </c>
      <c r="L134" s="307">
        <f t="shared" si="32"/>
        <v>300000</v>
      </c>
      <c r="M134" s="308"/>
      <c r="N134" s="308">
        <v>300000</v>
      </c>
      <c r="O134" s="296"/>
      <c r="P134" s="296"/>
      <c r="Q134" s="296"/>
      <c r="R134" s="84"/>
      <c r="S134" s="70">
        <f t="shared" si="29"/>
        <v>0</v>
      </c>
      <c r="T134" s="70"/>
      <c r="U134" s="70">
        <v>300000</v>
      </c>
      <c r="V134" s="9" t="s">
        <v>756</v>
      </c>
      <c r="W134" s="19" t="s">
        <v>273</v>
      </c>
      <c r="X134" s="19"/>
      <c r="Y134" s="67">
        <f t="shared" si="30"/>
        <v>300000</v>
      </c>
      <c r="Z134" s="52"/>
      <c r="AA134" s="52"/>
      <c r="AB134" s="19">
        <v>300000</v>
      </c>
      <c r="AC134" s="24">
        <f t="shared" si="31"/>
        <v>500000</v>
      </c>
      <c r="AD134" s="19"/>
      <c r="AE134" s="19"/>
      <c r="AF134" s="19"/>
      <c r="AG134" s="19"/>
      <c r="AH134" s="19"/>
      <c r="AI134" s="14"/>
      <c r="AJ134" s="139"/>
      <c r="AK134" s="135">
        <v>2021</v>
      </c>
      <c r="AL134" s="136">
        <v>1000000</v>
      </c>
      <c r="AM134" s="138"/>
    </row>
    <row r="135" spans="1:39" s="27" customFormat="1" ht="33">
      <c r="A135" s="34" t="s">
        <v>876</v>
      </c>
      <c r="B135" s="34"/>
      <c r="C135" s="119" t="s">
        <v>1185</v>
      </c>
      <c r="D135" s="119"/>
      <c r="E135" s="121" t="s">
        <v>1230</v>
      </c>
      <c r="F135" s="121"/>
      <c r="G135" s="132" t="s">
        <v>418</v>
      </c>
      <c r="H135" s="132" t="s">
        <v>520</v>
      </c>
      <c r="I135" s="132" t="s">
        <v>108</v>
      </c>
      <c r="J135" s="133" t="s">
        <v>419</v>
      </c>
      <c r="K135" s="134" t="s">
        <v>532</v>
      </c>
      <c r="L135" s="307">
        <f t="shared" si="32"/>
        <v>500000</v>
      </c>
      <c r="M135" s="308"/>
      <c r="N135" s="308">
        <v>500000</v>
      </c>
      <c r="O135" s="296"/>
      <c r="P135" s="296"/>
      <c r="Q135" s="296"/>
      <c r="R135" s="84"/>
      <c r="S135" s="70">
        <f t="shared" si="29"/>
        <v>0</v>
      </c>
      <c r="T135" s="70"/>
      <c r="U135" s="70">
        <v>500000</v>
      </c>
      <c r="V135" s="9" t="s">
        <v>756</v>
      </c>
      <c r="W135" s="19" t="s">
        <v>757</v>
      </c>
      <c r="X135" s="19"/>
      <c r="Y135" s="67">
        <f t="shared" si="30"/>
        <v>500000</v>
      </c>
      <c r="Z135" s="52"/>
      <c r="AA135" s="52"/>
      <c r="AB135" s="19">
        <v>300000</v>
      </c>
      <c r="AC135" s="24">
        <f t="shared" si="31"/>
        <v>-100000</v>
      </c>
      <c r="AD135" s="19"/>
      <c r="AE135" s="19"/>
      <c r="AF135" s="19"/>
      <c r="AG135" s="19"/>
      <c r="AH135" s="19"/>
      <c r="AI135" s="14"/>
      <c r="AJ135" s="139"/>
      <c r="AK135" s="135">
        <v>2021</v>
      </c>
      <c r="AL135" s="136">
        <v>3000000</v>
      </c>
      <c r="AM135" s="138"/>
    </row>
    <row r="136" spans="1:39" s="27" customFormat="1" ht="33">
      <c r="A136" s="34" t="s">
        <v>876</v>
      </c>
      <c r="B136" s="34"/>
      <c r="C136" s="119" t="s">
        <v>1185</v>
      </c>
      <c r="D136" s="119"/>
      <c r="E136" s="121" t="s">
        <v>1230</v>
      </c>
      <c r="F136" s="121"/>
      <c r="G136" s="132" t="s">
        <v>418</v>
      </c>
      <c r="H136" s="132" t="s">
        <v>520</v>
      </c>
      <c r="I136" s="132" t="s">
        <v>108</v>
      </c>
      <c r="J136" s="133" t="s">
        <v>419</v>
      </c>
      <c r="K136" s="134" t="s">
        <v>533</v>
      </c>
      <c r="L136" s="307">
        <f t="shared" si="32"/>
        <v>100000</v>
      </c>
      <c r="M136" s="308"/>
      <c r="N136" s="308">
        <v>100000</v>
      </c>
      <c r="O136" s="296"/>
      <c r="P136" s="296"/>
      <c r="Q136" s="296"/>
      <c r="R136" s="84"/>
      <c r="S136" s="70">
        <f t="shared" si="29"/>
        <v>0</v>
      </c>
      <c r="T136" s="70"/>
      <c r="U136" s="70">
        <v>100000</v>
      </c>
      <c r="V136" s="9" t="s">
        <v>756</v>
      </c>
      <c r="W136" s="19" t="s">
        <v>757</v>
      </c>
      <c r="X136" s="19"/>
      <c r="Y136" s="67">
        <f t="shared" si="30"/>
        <v>100000</v>
      </c>
      <c r="Z136" s="52"/>
      <c r="AA136" s="52"/>
      <c r="AB136" s="19">
        <v>500000</v>
      </c>
      <c r="AC136" s="24">
        <f t="shared" si="31"/>
        <v>3700000</v>
      </c>
      <c r="AD136" s="19"/>
      <c r="AE136" s="19"/>
      <c r="AF136" s="19"/>
      <c r="AG136" s="19"/>
      <c r="AH136" s="19"/>
      <c r="AI136" s="14"/>
      <c r="AJ136" s="139"/>
      <c r="AK136" s="135">
        <v>2021</v>
      </c>
      <c r="AL136" s="136">
        <v>3000000</v>
      </c>
      <c r="AM136" s="138"/>
    </row>
    <row r="137" spans="1:39" s="27" customFormat="1" ht="49.5" customHeight="1">
      <c r="A137" s="34" t="s">
        <v>876</v>
      </c>
      <c r="B137" s="34"/>
      <c r="C137" s="72"/>
      <c r="D137" s="72"/>
      <c r="E137" s="120" t="s">
        <v>905</v>
      </c>
      <c r="F137" s="120"/>
      <c r="G137" s="132" t="s">
        <v>418</v>
      </c>
      <c r="H137" s="132" t="s">
        <v>520</v>
      </c>
      <c r="I137" s="132" t="s">
        <v>108</v>
      </c>
      <c r="J137" s="133" t="s">
        <v>419</v>
      </c>
      <c r="K137" s="134" t="s">
        <v>534</v>
      </c>
      <c r="L137" s="307">
        <f t="shared" si="32"/>
        <v>3300000</v>
      </c>
      <c r="M137" s="308"/>
      <c r="N137" s="308">
        <v>3300000</v>
      </c>
      <c r="O137" s="296"/>
      <c r="P137" s="296"/>
      <c r="Q137" s="296"/>
      <c r="R137" s="84"/>
      <c r="S137" s="70">
        <f t="shared" si="29"/>
        <v>0</v>
      </c>
      <c r="T137" s="70"/>
      <c r="U137" s="70">
        <v>3300000</v>
      </c>
      <c r="V137" s="9" t="s">
        <v>756</v>
      </c>
      <c r="W137" s="19" t="s">
        <v>757</v>
      </c>
      <c r="X137" s="19"/>
      <c r="Y137" s="67">
        <f t="shared" si="30"/>
        <v>3300000</v>
      </c>
      <c r="Z137" s="52"/>
      <c r="AA137" s="52"/>
      <c r="AB137" s="19">
        <v>100000</v>
      </c>
      <c r="AC137" s="24">
        <f>X147+Y147+AB137-N137</f>
        <v>4600000</v>
      </c>
      <c r="AD137" s="19"/>
      <c r="AE137" s="19"/>
      <c r="AF137" s="19"/>
      <c r="AG137" s="19"/>
      <c r="AH137" s="19"/>
      <c r="AI137" s="14"/>
      <c r="AJ137" s="139">
        <v>100</v>
      </c>
      <c r="AK137" s="135" t="s">
        <v>413</v>
      </c>
      <c r="AL137" s="136">
        <v>13746002</v>
      </c>
      <c r="AM137" s="138">
        <v>50</v>
      </c>
    </row>
    <row r="138" spans="1:39" s="66" customFormat="1" ht="49.5" customHeight="1">
      <c r="A138" s="72" t="s">
        <v>876</v>
      </c>
      <c r="B138" s="72"/>
      <c r="C138" s="72"/>
      <c r="D138" s="72"/>
      <c r="E138" s="120"/>
      <c r="F138" s="120"/>
      <c r="G138" s="132" t="s">
        <v>418</v>
      </c>
      <c r="H138" s="132" t="s">
        <v>520</v>
      </c>
      <c r="I138" s="132" t="s">
        <v>108</v>
      </c>
      <c r="J138" s="133" t="s">
        <v>419</v>
      </c>
      <c r="K138" s="134" t="s">
        <v>1282</v>
      </c>
      <c r="L138" s="307">
        <f t="shared" si="32"/>
        <v>1500000</v>
      </c>
      <c r="M138" s="308"/>
      <c r="N138" s="308">
        <v>1500000</v>
      </c>
      <c r="O138" s="309"/>
      <c r="P138" s="309"/>
      <c r="Q138" s="309"/>
      <c r="R138" s="159"/>
      <c r="S138" s="70">
        <f t="shared" si="29"/>
        <v>1500000</v>
      </c>
      <c r="T138" s="70"/>
      <c r="U138" s="70"/>
      <c r="V138" s="69"/>
      <c r="W138" s="67"/>
      <c r="X138" s="67"/>
      <c r="Y138" s="67"/>
      <c r="Z138" s="67"/>
      <c r="AA138" s="67"/>
      <c r="AB138" s="67"/>
      <c r="AC138" s="65"/>
      <c r="AD138" s="67"/>
      <c r="AE138" s="67"/>
      <c r="AF138" s="67"/>
      <c r="AG138" s="67"/>
      <c r="AH138" s="67"/>
      <c r="AI138" s="71"/>
      <c r="AJ138" s="139"/>
      <c r="AK138" s="135">
        <v>2021</v>
      </c>
      <c r="AL138" s="136"/>
      <c r="AM138" s="138"/>
    </row>
    <row r="139" spans="1:39" s="66" customFormat="1" ht="33">
      <c r="A139" s="72" t="s">
        <v>876</v>
      </c>
      <c r="B139" s="72"/>
      <c r="C139" s="72"/>
      <c r="D139" s="72"/>
      <c r="E139" s="120"/>
      <c r="F139" s="120"/>
      <c r="G139" s="132" t="s">
        <v>418</v>
      </c>
      <c r="H139" s="132" t="s">
        <v>520</v>
      </c>
      <c r="I139" s="132" t="s">
        <v>108</v>
      </c>
      <c r="J139" s="133" t="s">
        <v>419</v>
      </c>
      <c r="K139" s="134" t="s">
        <v>448</v>
      </c>
      <c r="L139" s="307">
        <f t="shared" si="32"/>
        <v>700000</v>
      </c>
      <c r="M139" s="308"/>
      <c r="N139" s="308">
        <v>700000</v>
      </c>
      <c r="O139" s="309"/>
      <c r="P139" s="309"/>
      <c r="Q139" s="309"/>
      <c r="R139" s="159"/>
      <c r="S139" s="70">
        <f t="shared" si="29"/>
        <v>700000</v>
      </c>
      <c r="T139" s="70"/>
      <c r="U139" s="70"/>
      <c r="V139" s="69"/>
      <c r="W139" s="67"/>
      <c r="X139" s="67"/>
      <c r="Y139" s="67"/>
      <c r="Z139" s="67"/>
      <c r="AA139" s="67"/>
      <c r="AB139" s="67"/>
      <c r="AC139" s="65"/>
      <c r="AD139" s="67"/>
      <c r="AE139" s="67"/>
      <c r="AF139" s="67"/>
      <c r="AG139" s="67"/>
      <c r="AH139" s="67"/>
      <c r="AI139" s="71"/>
      <c r="AJ139" s="139"/>
      <c r="AK139" s="135">
        <v>2021</v>
      </c>
      <c r="AL139" s="136">
        <v>700000</v>
      </c>
      <c r="AM139" s="138"/>
    </row>
    <row r="140" spans="1:39" s="66" customFormat="1" ht="49.5" customHeight="1">
      <c r="A140" s="72" t="s">
        <v>876</v>
      </c>
      <c r="B140" s="72"/>
      <c r="C140" s="72"/>
      <c r="D140" s="72"/>
      <c r="E140" s="120"/>
      <c r="F140" s="120"/>
      <c r="G140" s="132" t="s">
        <v>418</v>
      </c>
      <c r="H140" s="132" t="s">
        <v>520</v>
      </c>
      <c r="I140" s="132" t="s">
        <v>108</v>
      </c>
      <c r="J140" s="133" t="s">
        <v>419</v>
      </c>
      <c r="K140" s="134" t="s">
        <v>1298</v>
      </c>
      <c r="L140" s="307">
        <f t="shared" si="32"/>
        <v>1000000</v>
      </c>
      <c r="M140" s="308"/>
      <c r="N140" s="308">
        <v>1000000</v>
      </c>
      <c r="O140" s="309"/>
      <c r="P140" s="309"/>
      <c r="Q140" s="309"/>
      <c r="R140" s="159"/>
      <c r="S140" s="70">
        <f t="shared" si="29"/>
        <v>1000000</v>
      </c>
      <c r="T140" s="70"/>
      <c r="U140" s="70"/>
      <c r="V140" s="69"/>
      <c r="W140" s="67"/>
      <c r="X140" s="67"/>
      <c r="Y140" s="67"/>
      <c r="Z140" s="67"/>
      <c r="AA140" s="67"/>
      <c r="AB140" s="67"/>
      <c r="AC140" s="65"/>
      <c r="AD140" s="67"/>
      <c r="AE140" s="67"/>
      <c r="AF140" s="67"/>
      <c r="AG140" s="67"/>
      <c r="AH140" s="67"/>
      <c r="AI140" s="71"/>
      <c r="AJ140" s="139"/>
      <c r="AK140" s="135">
        <v>2021</v>
      </c>
      <c r="AL140" s="136"/>
      <c r="AM140" s="138"/>
    </row>
    <row r="141" spans="1:39" s="66" customFormat="1" ht="33">
      <c r="A141" s="72" t="s">
        <v>876</v>
      </c>
      <c r="B141" s="72"/>
      <c r="C141" s="72"/>
      <c r="D141" s="72"/>
      <c r="E141" s="120"/>
      <c r="F141" s="120"/>
      <c r="G141" s="132" t="s">
        <v>418</v>
      </c>
      <c r="H141" s="132" t="s">
        <v>520</v>
      </c>
      <c r="I141" s="132" t="s">
        <v>108</v>
      </c>
      <c r="J141" s="133" t="s">
        <v>419</v>
      </c>
      <c r="K141" s="134" t="s">
        <v>1281</v>
      </c>
      <c r="L141" s="307">
        <f t="shared" si="32"/>
        <v>700000</v>
      </c>
      <c r="M141" s="308"/>
      <c r="N141" s="308">
        <v>700000</v>
      </c>
      <c r="O141" s="309"/>
      <c r="P141" s="309"/>
      <c r="Q141" s="309"/>
      <c r="R141" s="159"/>
      <c r="S141" s="70">
        <f t="shared" si="29"/>
        <v>700000</v>
      </c>
      <c r="T141" s="70"/>
      <c r="U141" s="70"/>
      <c r="V141" s="69"/>
      <c r="W141" s="67"/>
      <c r="X141" s="67"/>
      <c r="Y141" s="67"/>
      <c r="Z141" s="67"/>
      <c r="AA141" s="67"/>
      <c r="AB141" s="67"/>
      <c r="AC141" s="65"/>
      <c r="AD141" s="67"/>
      <c r="AE141" s="67"/>
      <c r="AF141" s="67"/>
      <c r="AG141" s="67"/>
      <c r="AH141" s="67"/>
      <c r="AI141" s="71"/>
      <c r="AJ141" s="139"/>
      <c r="AK141" s="135">
        <v>2021</v>
      </c>
      <c r="AL141" s="136"/>
      <c r="AM141" s="138"/>
    </row>
    <row r="142" spans="1:39" s="66" customFormat="1" ht="33">
      <c r="A142" s="72" t="s">
        <v>876</v>
      </c>
      <c r="B142" s="72"/>
      <c r="C142" s="72"/>
      <c r="D142" s="72"/>
      <c r="E142" s="120"/>
      <c r="F142" s="120"/>
      <c r="G142" s="132" t="s">
        <v>418</v>
      </c>
      <c r="H142" s="132" t="s">
        <v>520</v>
      </c>
      <c r="I142" s="132" t="s">
        <v>108</v>
      </c>
      <c r="J142" s="133" t="s">
        <v>419</v>
      </c>
      <c r="K142" s="134" t="s">
        <v>1299</v>
      </c>
      <c r="L142" s="307">
        <f t="shared" si="32"/>
        <v>2500000</v>
      </c>
      <c r="M142" s="308"/>
      <c r="N142" s="308">
        <v>2500000</v>
      </c>
      <c r="O142" s="309"/>
      <c r="P142" s="309"/>
      <c r="Q142" s="309"/>
      <c r="R142" s="159"/>
      <c r="S142" s="70">
        <f t="shared" si="29"/>
        <v>2500000</v>
      </c>
      <c r="T142" s="70"/>
      <c r="U142" s="70"/>
      <c r="V142" s="69"/>
      <c r="W142" s="67"/>
      <c r="X142" s="67"/>
      <c r="Y142" s="67"/>
      <c r="Z142" s="67"/>
      <c r="AA142" s="67"/>
      <c r="AB142" s="67"/>
      <c r="AC142" s="65"/>
      <c r="AD142" s="67"/>
      <c r="AE142" s="67"/>
      <c r="AF142" s="67"/>
      <c r="AG142" s="67"/>
      <c r="AH142" s="67"/>
      <c r="AI142" s="71"/>
      <c r="AJ142" s="139">
        <v>50</v>
      </c>
      <c r="AK142" s="135">
        <v>2021</v>
      </c>
      <c r="AL142" s="136">
        <v>5062312</v>
      </c>
      <c r="AM142" s="138"/>
    </row>
    <row r="143" spans="1:39" s="66" customFormat="1" ht="49.5" customHeight="1">
      <c r="A143" s="72" t="s">
        <v>876</v>
      </c>
      <c r="B143" s="72"/>
      <c r="C143" s="72"/>
      <c r="D143" s="72"/>
      <c r="E143" s="120"/>
      <c r="F143" s="120"/>
      <c r="G143" s="132" t="s">
        <v>418</v>
      </c>
      <c r="H143" s="132" t="s">
        <v>520</v>
      </c>
      <c r="I143" s="132" t="s">
        <v>108</v>
      </c>
      <c r="J143" s="133" t="s">
        <v>419</v>
      </c>
      <c r="K143" s="134" t="s">
        <v>1283</v>
      </c>
      <c r="L143" s="307">
        <f t="shared" si="32"/>
        <v>1000000</v>
      </c>
      <c r="M143" s="308"/>
      <c r="N143" s="308">
        <v>1000000</v>
      </c>
      <c r="O143" s="309"/>
      <c r="P143" s="309"/>
      <c r="Q143" s="309"/>
      <c r="R143" s="159"/>
      <c r="S143" s="70">
        <f t="shared" si="29"/>
        <v>1000000</v>
      </c>
      <c r="T143" s="70"/>
      <c r="U143" s="70"/>
      <c r="V143" s="69"/>
      <c r="W143" s="67"/>
      <c r="X143" s="67"/>
      <c r="Y143" s="67"/>
      <c r="Z143" s="67"/>
      <c r="AA143" s="67"/>
      <c r="AB143" s="67"/>
      <c r="AC143" s="65"/>
      <c r="AD143" s="67"/>
      <c r="AE143" s="67"/>
      <c r="AF143" s="67"/>
      <c r="AG143" s="67"/>
      <c r="AH143" s="67"/>
      <c r="AI143" s="71"/>
      <c r="AJ143" s="139">
        <v>100</v>
      </c>
      <c r="AK143" s="135">
        <v>2021</v>
      </c>
      <c r="AL143" s="136"/>
      <c r="AM143" s="138"/>
    </row>
    <row r="144" spans="1:39" s="66" customFormat="1" ht="49.5" customHeight="1">
      <c r="A144" s="72" t="s">
        <v>876</v>
      </c>
      <c r="B144" s="72"/>
      <c r="C144" s="72"/>
      <c r="D144" s="72"/>
      <c r="E144" s="120"/>
      <c r="F144" s="120"/>
      <c r="G144" s="132" t="s">
        <v>418</v>
      </c>
      <c r="H144" s="132" t="s">
        <v>520</v>
      </c>
      <c r="I144" s="132" t="s">
        <v>108</v>
      </c>
      <c r="J144" s="133" t="s">
        <v>419</v>
      </c>
      <c r="K144" s="134" t="s">
        <v>1300</v>
      </c>
      <c r="L144" s="307">
        <f t="shared" si="32"/>
        <v>1000000</v>
      </c>
      <c r="M144" s="308"/>
      <c r="N144" s="308">
        <v>1000000</v>
      </c>
      <c r="O144" s="309"/>
      <c r="P144" s="309"/>
      <c r="Q144" s="309"/>
      <c r="R144" s="159"/>
      <c r="S144" s="70">
        <f t="shared" si="29"/>
        <v>1000000</v>
      </c>
      <c r="T144" s="70"/>
      <c r="U144" s="70"/>
      <c r="V144" s="69"/>
      <c r="W144" s="67"/>
      <c r="X144" s="67"/>
      <c r="Y144" s="67"/>
      <c r="Z144" s="67"/>
      <c r="AA144" s="67"/>
      <c r="AB144" s="67"/>
      <c r="AC144" s="65"/>
      <c r="AD144" s="67"/>
      <c r="AE144" s="67"/>
      <c r="AF144" s="67"/>
      <c r="AG144" s="67"/>
      <c r="AH144" s="67"/>
      <c r="AI144" s="71"/>
      <c r="AJ144" s="139">
        <v>26</v>
      </c>
      <c r="AK144" s="135" t="s">
        <v>331</v>
      </c>
      <c r="AL144" s="136">
        <v>3769877</v>
      </c>
      <c r="AM144" s="138">
        <v>5</v>
      </c>
    </row>
    <row r="145" spans="1:39" s="66" customFormat="1" ht="49.5" customHeight="1">
      <c r="A145" s="72" t="s">
        <v>876</v>
      </c>
      <c r="B145" s="72"/>
      <c r="C145" s="72"/>
      <c r="D145" s="72"/>
      <c r="E145" s="120"/>
      <c r="F145" s="120"/>
      <c r="G145" s="132" t="s">
        <v>418</v>
      </c>
      <c r="H145" s="132" t="s">
        <v>520</v>
      </c>
      <c r="I145" s="132" t="s">
        <v>108</v>
      </c>
      <c r="J145" s="133" t="s">
        <v>419</v>
      </c>
      <c r="K145" s="134" t="s">
        <v>1301</v>
      </c>
      <c r="L145" s="307">
        <f t="shared" si="32"/>
        <v>500000</v>
      </c>
      <c r="M145" s="308"/>
      <c r="N145" s="308">
        <v>500000</v>
      </c>
      <c r="O145" s="309"/>
      <c r="P145" s="309"/>
      <c r="Q145" s="309"/>
      <c r="R145" s="159"/>
      <c r="S145" s="70">
        <f t="shared" si="29"/>
        <v>500000</v>
      </c>
      <c r="T145" s="70"/>
      <c r="U145" s="70"/>
      <c r="V145" s="69"/>
      <c r="W145" s="67"/>
      <c r="X145" s="67"/>
      <c r="Y145" s="67"/>
      <c r="Z145" s="67"/>
      <c r="AA145" s="67"/>
      <c r="AB145" s="67"/>
      <c r="AC145" s="65"/>
      <c r="AD145" s="67"/>
      <c r="AE145" s="67"/>
      <c r="AF145" s="67"/>
      <c r="AG145" s="67"/>
      <c r="AH145" s="67"/>
      <c r="AI145" s="71"/>
      <c r="AJ145" s="139"/>
      <c r="AK145" s="135">
        <v>2021</v>
      </c>
      <c r="AL145" s="136"/>
      <c r="AM145" s="138"/>
    </row>
    <row r="146" spans="1:39" s="66" customFormat="1" ht="49.5" customHeight="1">
      <c r="A146" s="72" t="s">
        <v>876</v>
      </c>
      <c r="B146" s="72"/>
      <c r="C146" s="72"/>
      <c r="D146" s="72"/>
      <c r="E146" s="120"/>
      <c r="F146" s="120"/>
      <c r="G146" s="132" t="s">
        <v>418</v>
      </c>
      <c r="H146" s="132" t="s">
        <v>520</v>
      </c>
      <c r="I146" s="132" t="s">
        <v>108</v>
      </c>
      <c r="J146" s="133" t="s">
        <v>419</v>
      </c>
      <c r="K146" s="134" t="s">
        <v>1302</v>
      </c>
      <c r="L146" s="307">
        <f t="shared" si="32"/>
        <v>1000000</v>
      </c>
      <c r="M146" s="308"/>
      <c r="N146" s="308">
        <v>1000000</v>
      </c>
      <c r="O146" s="309"/>
      <c r="P146" s="309"/>
      <c r="Q146" s="309"/>
      <c r="R146" s="159"/>
      <c r="S146" s="70">
        <f t="shared" si="29"/>
        <v>1000000</v>
      </c>
      <c r="T146" s="70"/>
      <c r="U146" s="70"/>
      <c r="V146" s="69"/>
      <c r="W146" s="67"/>
      <c r="X146" s="67"/>
      <c r="Y146" s="67"/>
      <c r="Z146" s="67"/>
      <c r="AA146" s="67"/>
      <c r="AB146" s="67"/>
      <c r="AC146" s="65"/>
      <c r="AD146" s="67"/>
      <c r="AE146" s="67"/>
      <c r="AF146" s="67"/>
      <c r="AG146" s="67"/>
      <c r="AH146" s="67"/>
      <c r="AI146" s="71"/>
      <c r="AJ146" s="139"/>
      <c r="AK146" s="135">
        <v>2021</v>
      </c>
      <c r="AL146" s="136"/>
      <c r="AM146" s="138"/>
    </row>
    <row r="147" spans="1:39" s="27" customFormat="1" ht="33" customHeight="1">
      <c r="A147" s="34" t="s">
        <v>876</v>
      </c>
      <c r="B147" s="34"/>
      <c r="C147" s="72"/>
      <c r="D147" s="72"/>
      <c r="E147" s="120" t="s">
        <v>903</v>
      </c>
      <c r="F147" s="120"/>
      <c r="G147" s="132" t="s">
        <v>418</v>
      </c>
      <c r="H147" s="132" t="s">
        <v>520</v>
      </c>
      <c r="I147" s="132" t="s">
        <v>108</v>
      </c>
      <c r="J147" s="133" t="s">
        <v>419</v>
      </c>
      <c r="K147" s="134" t="s">
        <v>535</v>
      </c>
      <c r="L147" s="307">
        <f t="shared" si="32"/>
        <v>7800000</v>
      </c>
      <c r="M147" s="308"/>
      <c r="N147" s="308">
        <f>2800000+5000000</f>
        <v>7800000</v>
      </c>
      <c r="O147" s="309"/>
      <c r="P147" s="309"/>
      <c r="Q147" s="309"/>
      <c r="R147" s="159"/>
      <c r="S147" s="70">
        <f t="shared" si="29"/>
        <v>5000000</v>
      </c>
      <c r="T147" s="70"/>
      <c r="U147" s="70">
        <v>2800000</v>
      </c>
      <c r="V147" s="9" t="s">
        <v>521</v>
      </c>
      <c r="W147" s="19"/>
      <c r="X147" s="19"/>
      <c r="Y147" s="67">
        <f t="shared" ref="Y147:Y210" si="33">N147-X147</f>
        <v>7800000</v>
      </c>
      <c r="Z147" s="52"/>
      <c r="AA147" s="52"/>
      <c r="AB147" s="19"/>
      <c r="AC147" s="24">
        <f>X148+Y148+AB147-N147</f>
        <v>-7700000</v>
      </c>
      <c r="AD147" s="19"/>
      <c r="AE147" s="19"/>
      <c r="AF147" s="19"/>
      <c r="AG147" s="19"/>
      <c r="AH147" s="19"/>
      <c r="AI147" s="14"/>
      <c r="AJ147" s="139">
        <v>65</v>
      </c>
      <c r="AK147" s="135" t="s">
        <v>352</v>
      </c>
      <c r="AL147" s="136">
        <v>38568775</v>
      </c>
      <c r="AM147" s="138">
        <v>60</v>
      </c>
    </row>
    <row r="148" spans="1:39" s="27" customFormat="1" ht="49.5" customHeight="1">
      <c r="A148" s="34" t="s">
        <v>876</v>
      </c>
      <c r="B148" s="34"/>
      <c r="C148" s="72"/>
      <c r="D148" s="72"/>
      <c r="E148" s="120" t="s">
        <v>901</v>
      </c>
      <c r="F148" s="120"/>
      <c r="G148" s="132" t="s">
        <v>418</v>
      </c>
      <c r="H148" s="132" t="s">
        <v>520</v>
      </c>
      <c r="I148" s="132" t="s">
        <v>108</v>
      </c>
      <c r="J148" s="133" t="s">
        <v>419</v>
      </c>
      <c r="K148" s="134" t="s">
        <v>536</v>
      </c>
      <c r="L148" s="307">
        <f t="shared" si="32"/>
        <v>100000</v>
      </c>
      <c r="M148" s="308"/>
      <c r="N148" s="308">
        <v>100000</v>
      </c>
      <c r="O148" s="309"/>
      <c r="P148" s="309"/>
      <c r="Q148" s="309"/>
      <c r="R148" s="159"/>
      <c r="S148" s="70">
        <f t="shared" si="29"/>
        <v>0</v>
      </c>
      <c r="T148" s="70"/>
      <c r="U148" s="70">
        <v>100000</v>
      </c>
      <c r="V148" s="9" t="s">
        <v>521</v>
      </c>
      <c r="W148" s="19"/>
      <c r="X148" s="19"/>
      <c r="Y148" s="67">
        <f t="shared" si="33"/>
        <v>100000</v>
      </c>
      <c r="Z148" s="52"/>
      <c r="AA148" s="52"/>
      <c r="AB148" s="19"/>
      <c r="AC148" s="24">
        <f>X747+Y747+AB148-N148</f>
        <v>-100000</v>
      </c>
      <c r="AD148" s="19"/>
      <c r="AE148" s="19"/>
      <c r="AF148" s="19"/>
      <c r="AG148" s="19"/>
      <c r="AH148" s="19"/>
      <c r="AI148" s="14"/>
      <c r="AJ148" s="139">
        <v>60</v>
      </c>
      <c r="AK148" s="135">
        <v>2021</v>
      </c>
      <c r="AL148" s="136">
        <v>500000</v>
      </c>
      <c r="AM148" s="138">
        <v>50</v>
      </c>
    </row>
    <row r="149" spans="1:39" s="27" customFormat="1" ht="49.5" customHeight="1">
      <c r="A149" s="34" t="s">
        <v>876</v>
      </c>
      <c r="B149" s="34"/>
      <c r="C149" s="72"/>
      <c r="D149" s="72"/>
      <c r="E149" s="120" t="s">
        <v>904</v>
      </c>
      <c r="F149" s="120"/>
      <c r="G149" s="132" t="s">
        <v>418</v>
      </c>
      <c r="H149" s="132" t="s">
        <v>520</v>
      </c>
      <c r="I149" s="132" t="s">
        <v>108</v>
      </c>
      <c r="J149" s="133" t="s">
        <v>419</v>
      </c>
      <c r="K149" s="134" t="s">
        <v>790</v>
      </c>
      <c r="L149" s="307">
        <f t="shared" si="32"/>
        <v>500000</v>
      </c>
      <c r="M149" s="308"/>
      <c r="N149" s="308">
        <v>500000</v>
      </c>
      <c r="O149" s="296"/>
      <c r="P149" s="296"/>
      <c r="Q149" s="296"/>
      <c r="R149" s="84"/>
      <c r="S149" s="70">
        <f t="shared" si="29"/>
        <v>0</v>
      </c>
      <c r="T149" s="70"/>
      <c r="U149" s="70">
        <v>500000</v>
      </c>
      <c r="V149" s="9" t="s">
        <v>758</v>
      </c>
      <c r="W149" s="19"/>
      <c r="X149" s="19"/>
      <c r="Y149" s="67">
        <f t="shared" si="33"/>
        <v>500000</v>
      </c>
      <c r="Z149" s="52"/>
      <c r="AA149" s="52"/>
      <c r="AB149" s="19"/>
      <c r="AC149" s="24">
        <f t="shared" ref="AC149:AC180" si="34">X150+Y150+AB149-N149</f>
        <v>-200000</v>
      </c>
      <c r="AD149" s="19"/>
      <c r="AE149" s="19"/>
      <c r="AF149" s="19"/>
      <c r="AG149" s="19"/>
      <c r="AH149" s="19"/>
      <c r="AI149" s="14"/>
      <c r="AJ149" s="139">
        <v>20</v>
      </c>
      <c r="AK149" s="135" t="s">
        <v>271</v>
      </c>
      <c r="AL149" s="136">
        <v>4657206</v>
      </c>
      <c r="AM149" s="138">
        <v>5</v>
      </c>
    </row>
    <row r="150" spans="1:39" s="27" customFormat="1" ht="33">
      <c r="A150" s="34" t="s">
        <v>876</v>
      </c>
      <c r="B150" s="34"/>
      <c r="C150" s="72"/>
      <c r="D150" s="72"/>
      <c r="E150" s="120" t="s">
        <v>904</v>
      </c>
      <c r="F150" s="120"/>
      <c r="G150" s="132" t="s">
        <v>418</v>
      </c>
      <c r="H150" s="132" t="s">
        <v>520</v>
      </c>
      <c r="I150" s="132" t="s">
        <v>108</v>
      </c>
      <c r="J150" s="133" t="s">
        <v>419</v>
      </c>
      <c r="K150" s="134" t="s">
        <v>791</v>
      </c>
      <c r="L150" s="307">
        <f t="shared" si="32"/>
        <v>300000</v>
      </c>
      <c r="M150" s="308"/>
      <c r="N150" s="308">
        <v>300000</v>
      </c>
      <c r="O150" s="296"/>
      <c r="P150" s="296"/>
      <c r="Q150" s="296"/>
      <c r="R150" s="84"/>
      <c r="S150" s="70">
        <f t="shared" si="29"/>
        <v>0</v>
      </c>
      <c r="T150" s="70"/>
      <c r="U150" s="70">
        <v>300000</v>
      </c>
      <c r="V150" s="9" t="s">
        <v>521</v>
      </c>
      <c r="W150" s="19" t="s">
        <v>273</v>
      </c>
      <c r="X150" s="19"/>
      <c r="Y150" s="67">
        <f t="shared" si="33"/>
        <v>300000</v>
      </c>
      <c r="Z150" s="52"/>
      <c r="AA150" s="52"/>
      <c r="AB150" s="19"/>
      <c r="AC150" s="24">
        <f t="shared" si="34"/>
        <v>0</v>
      </c>
      <c r="AD150" s="19"/>
      <c r="AE150" s="19"/>
      <c r="AF150" s="19"/>
      <c r="AG150" s="19"/>
      <c r="AH150" s="19"/>
      <c r="AI150" s="14"/>
      <c r="AJ150" s="139"/>
      <c r="AK150" s="135">
        <v>2021</v>
      </c>
      <c r="AL150" s="136">
        <v>300000</v>
      </c>
      <c r="AM150" s="138"/>
    </row>
    <row r="151" spans="1:39" s="27" customFormat="1" ht="49.5">
      <c r="A151" s="34" t="s">
        <v>876</v>
      </c>
      <c r="B151" s="34"/>
      <c r="C151" s="72"/>
      <c r="D151" s="72"/>
      <c r="E151" s="120" t="s">
        <v>904</v>
      </c>
      <c r="F151" s="120"/>
      <c r="G151" s="132" t="s">
        <v>418</v>
      </c>
      <c r="H151" s="132" t="s">
        <v>520</v>
      </c>
      <c r="I151" s="132" t="s">
        <v>108</v>
      </c>
      <c r="J151" s="133" t="s">
        <v>419</v>
      </c>
      <c r="K151" s="134" t="s">
        <v>1248</v>
      </c>
      <c r="L151" s="307">
        <f t="shared" si="32"/>
        <v>300000</v>
      </c>
      <c r="M151" s="308"/>
      <c r="N151" s="308">
        <v>300000</v>
      </c>
      <c r="O151" s="296"/>
      <c r="P151" s="296"/>
      <c r="Q151" s="296"/>
      <c r="R151" s="84"/>
      <c r="S151" s="70">
        <f t="shared" si="29"/>
        <v>0</v>
      </c>
      <c r="T151" s="70"/>
      <c r="U151" s="70">
        <v>300000</v>
      </c>
      <c r="V151" s="9" t="s">
        <v>521</v>
      </c>
      <c r="W151" s="19"/>
      <c r="X151" s="19"/>
      <c r="Y151" s="67">
        <f t="shared" si="33"/>
        <v>300000</v>
      </c>
      <c r="Z151" s="52"/>
      <c r="AA151" s="52"/>
      <c r="AB151" s="19"/>
      <c r="AC151" s="24">
        <f t="shared" si="34"/>
        <v>0</v>
      </c>
      <c r="AD151" s="19"/>
      <c r="AE151" s="19"/>
      <c r="AF151" s="19"/>
      <c r="AG151" s="19"/>
      <c r="AH151" s="19"/>
      <c r="AI151" s="14"/>
      <c r="AJ151" s="139"/>
      <c r="AK151" s="135">
        <v>2021</v>
      </c>
      <c r="AL151" s="136">
        <v>300000</v>
      </c>
      <c r="AM151" s="138"/>
    </row>
    <row r="152" spans="1:39" s="27" customFormat="1" ht="49.5">
      <c r="A152" s="34" t="s">
        <v>876</v>
      </c>
      <c r="B152" s="34"/>
      <c r="C152" s="72"/>
      <c r="D152" s="72"/>
      <c r="E152" s="120" t="s">
        <v>901</v>
      </c>
      <c r="F152" s="120"/>
      <c r="G152" s="132" t="s">
        <v>418</v>
      </c>
      <c r="H152" s="132" t="s">
        <v>520</v>
      </c>
      <c r="I152" s="132" t="s">
        <v>108</v>
      </c>
      <c r="J152" s="133" t="s">
        <v>419</v>
      </c>
      <c r="K152" s="134" t="s">
        <v>537</v>
      </c>
      <c r="L152" s="307">
        <f t="shared" si="32"/>
        <v>300000</v>
      </c>
      <c r="M152" s="308"/>
      <c r="N152" s="308">
        <v>300000</v>
      </c>
      <c r="O152" s="296"/>
      <c r="P152" s="296"/>
      <c r="Q152" s="296"/>
      <c r="R152" s="84"/>
      <c r="S152" s="70">
        <f t="shared" si="29"/>
        <v>0</v>
      </c>
      <c r="T152" s="70"/>
      <c r="U152" s="70">
        <v>300000</v>
      </c>
      <c r="V152" s="9" t="s">
        <v>756</v>
      </c>
      <c r="W152" s="19" t="s">
        <v>273</v>
      </c>
      <c r="X152" s="19"/>
      <c r="Y152" s="67">
        <f t="shared" si="33"/>
        <v>300000</v>
      </c>
      <c r="Z152" s="52"/>
      <c r="AA152" s="52"/>
      <c r="AB152" s="19">
        <v>300000</v>
      </c>
      <c r="AC152" s="24">
        <f t="shared" si="34"/>
        <v>1500000</v>
      </c>
      <c r="AD152" s="19"/>
      <c r="AE152" s="19"/>
      <c r="AF152" s="19"/>
      <c r="AG152" s="19"/>
      <c r="AH152" s="19"/>
      <c r="AI152" s="14"/>
      <c r="AJ152" s="139"/>
      <c r="AK152" s="135">
        <v>2021</v>
      </c>
      <c r="AL152" s="136">
        <v>300000</v>
      </c>
      <c r="AM152" s="138"/>
    </row>
    <row r="153" spans="1:39" s="27" customFormat="1" ht="33">
      <c r="A153" s="34" t="s">
        <v>876</v>
      </c>
      <c r="B153" s="34"/>
      <c r="C153" s="72"/>
      <c r="D153" s="72"/>
      <c r="E153" s="120" t="s">
        <v>901</v>
      </c>
      <c r="F153" s="120"/>
      <c r="G153" s="132" t="s">
        <v>418</v>
      </c>
      <c r="H153" s="132" t="s">
        <v>520</v>
      </c>
      <c r="I153" s="132" t="s">
        <v>108</v>
      </c>
      <c r="J153" s="133" t="s">
        <v>419</v>
      </c>
      <c r="K153" s="134" t="s">
        <v>814</v>
      </c>
      <c r="L153" s="307">
        <f t="shared" si="32"/>
        <v>1500000</v>
      </c>
      <c r="M153" s="308"/>
      <c r="N153" s="308">
        <v>1500000</v>
      </c>
      <c r="O153" s="296"/>
      <c r="P153" s="296"/>
      <c r="Q153" s="296"/>
      <c r="R153" s="84"/>
      <c r="S153" s="70">
        <f t="shared" si="29"/>
        <v>0</v>
      </c>
      <c r="T153" s="70"/>
      <c r="U153" s="70">
        <v>1500000</v>
      </c>
      <c r="V153" s="9" t="s">
        <v>756</v>
      </c>
      <c r="W153" s="19" t="s">
        <v>273</v>
      </c>
      <c r="X153" s="19">
        <v>500000</v>
      </c>
      <c r="Y153" s="67">
        <f t="shared" si="33"/>
        <v>1000000</v>
      </c>
      <c r="Z153" s="52"/>
      <c r="AA153" s="52"/>
      <c r="AB153" s="19">
        <v>300000</v>
      </c>
      <c r="AC153" s="24">
        <f t="shared" si="34"/>
        <v>100000</v>
      </c>
      <c r="AD153" s="19"/>
      <c r="AE153" s="19"/>
      <c r="AF153" s="19"/>
      <c r="AG153" s="19"/>
      <c r="AH153" s="19"/>
      <c r="AI153" s="14"/>
      <c r="AJ153" s="139">
        <v>50</v>
      </c>
      <c r="AK153" s="135" t="s">
        <v>271</v>
      </c>
      <c r="AL153" s="136">
        <v>4790338.8</v>
      </c>
      <c r="AM153" s="138">
        <v>15</v>
      </c>
    </row>
    <row r="154" spans="1:39" s="27" customFormat="1" ht="33">
      <c r="A154" s="34" t="s">
        <v>876</v>
      </c>
      <c r="B154" s="34"/>
      <c r="C154" s="72"/>
      <c r="D154" s="72"/>
      <c r="E154" s="120" t="s">
        <v>901</v>
      </c>
      <c r="F154" s="120"/>
      <c r="G154" s="132" t="s">
        <v>418</v>
      </c>
      <c r="H154" s="132" t="s">
        <v>520</v>
      </c>
      <c r="I154" s="132" t="s">
        <v>108</v>
      </c>
      <c r="J154" s="133" t="s">
        <v>419</v>
      </c>
      <c r="K154" s="134" t="s">
        <v>538</v>
      </c>
      <c r="L154" s="307">
        <f t="shared" si="32"/>
        <v>1300000</v>
      </c>
      <c r="M154" s="308"/>
      <c r="N154" s="308">
        <v>1300000</v>
      </c>
      <c r="O154" s="296"/>
      <c r="P154" s="296"/>
      <c r="Q154" s="296"/>
      <c r="R154" s="84"/>
      <c r="S154" s="70">
        <f t="shared" si="29"/>
        <v>0</v>
      </c>
      <c r="T154" s="70"/>
      <c r="U154" s="70">
        <v>1300000</v>
      </c>
      <c r="V154" s="9" t="s">
        <v>756</v>
      </c>
      <c r="W154" s="19" t="s">
        <v>273</v>
      </c>
      <c r="X154" s="19">
        <v>300000</v>
      </c>
      <c r="Y154" s="67">
        <f t="shared" si="33"/>
        <v>1000000</v>
      </c>
      <c r="Z154" s="52"/>
      <c r="AA154" s="52"/>
      <c r="AB154" s="19">
        <v>300000</v>
      </c>
      <c r="AC154" s="24">
        <f t="shared" si="34"/>
        <v>-700000</v>
      </c>
      <c r="AD154" s="19"/>
      <c r="AE154" s="19"/>
      <c r="AF154" s="19"/>
      <c r="AG154" s="19"/>
      <c r="AH154" s="19"/>
      <c r="AI154" s="14"/>
      <c r="AJ154" s="139">
        <v>98</v>
      </c>
      <c r="AK154" s="135" t="s">
        <v>271</v>
      </c>
      <c r="AL154" s="136">
        <v>2310196.58</v>
      </c>
      <c r="AM154" s="138">
        <v>50</v>
      </c>
    </row>
    <row r="155" spans="1:39" s="27" customFormat="1" ht="82.5">
      <c r="A155" s="34" t="s">
        <v>876</v>
      </c>
      <c r="B155" s="34"/>
      <c r="C155" s="72"/>
      <c r="D155" s="72"/>
      <c r="E155" s="120" t="s">
        <v>901</v>
      </c>
      <c r="F155" s="120"/>
      <c r="G155" s="132" t="s">
        <v>418</v>
      </c>
      <c r="H155" s="132" t="s">
        <v>520</v>
      </c>
      <c r="I155" s="132" t="s">
        <v>108</v>
      </c>
      <c r="J155" s="133" t="s">
        <v>419</v>
      </c>
      <c r="K155" s="134" t="s">
        <v>1286</v>
      </c>
      <c r="L155" s="307">
        <f t="shared" si="32"/>
        <v>300000</v>
      </c>
      <c r="M155" s="308"/>
      <c r="N155" s="308">
        <v>300000</v>
      </c>
      <c r="O155" s="296"/>
      <c r="P155" s="296"/>
      <c r="Q155" s="296"/>
      <c r="R155" s="84"/>
      <c r="S155" s="70">
        <f t="shared" si="29"/>
        <v>0</v>
      </c>
      <c r="T155" s="70"/>
      <c r="U155" s="70">
        <v>300000</v>
      </c>
      <c r="V155" s="9" t="s">
        <v>521</v>
      </c>
      <c r="W155" s="19"/>
      <c r="X155" s="19">
        <v>50000</v>
      </c>
      <c r="Y155" s="67">
        <f t="shared" si="33"/>
        <v>250000</v>
      </c>
      <c r="Z155" s="52"/>
      <c r="AA155" s="52"/>
      <c r="AB155" s="19"/>
      <c r="AC155" s="24">
        <f t="shared" si="34"/>
        <v>305765.56999999995</v>
      </c>
      <c r="AD155" s="19"/>
      <c r="AE155" s="19"/>
      <c r="AF155" s="19"/>
      <c r="AG155" s="19"/>
      <c r="AH155" s="19"/>
      <c r="AI155" s="14"/>
      <c r="AJ155" s="139">
        <v>30</v>
      </c>
      <c r="AK155" s="135" t="s">
        <v>271</v>
      </c>
      <c r="AL155" s="136">
        <v>1000000</v>
      </c>
      <c r="AM155" s="138">
        <v>10</v>
      </c>
    </row>
    <row r="156" spans="1:39" s="27" customFormat="1" ht="49.5">
      <c r="A156" s="34" t="s">
        <v>876</v>
      </c>
      <c r="B156" s="34"/>
      <c r="C156" s="72"/>
      <c r="D156" s="72"/>
      <c r="E156" s="120" t="s">
        <v>901</v>
      </c>
      <c r="F156" s="120"/>
      <c r="G156" s="132" t="s">
        <v>418</v>
      </c>
      <c r="H156" s="132" t="s">
        <v>520</v>
      </c>
      <c r="I156" s="132" t="s">
        <v>108</v>
      </c>
      <c r="J156" s="133" t="s">
        <v>419</v>
      </c>
      <c r="K156" s="134" t="s">
        <v>950</v>
      </c>
      <c r="L156" s="307">
        <f t="shared" si="32"/>
        <v>605765.56999999995</v>
      </c>
      <c r="M156" s="308"/>
      <c r="N156" s="308">
        <v>605765.56999999995</v>
      </c>
      <c r="O156" s="296"/>
      <c r="P156" s="296"/>
      <c r="Q156" s="296"/>
      <c r="R156" s="84"/>
      <c r="S156" s="70">
        <f t="shared" si="29"/>
        <v>0</v>
      </c>
      <c r="T156" s="70"/>
      <c r="U156" s="70">
        <v>605765.56999999995</v>
      </c>
      <c r="V156" s="9" t="s">
        <v>521</v>
      </c>
      <c r="W156" s="19"/>
      <c r="X156" s="19">
        <v>605765.56999999995</v>
      </c>
      <c r="Y156" s="67">
        <f t="shared" si="33"/>
        <v>0</v>
      </c>
      <c r="Z156" s="52"/>
      <c r="AA156" s="52"/>
      <c r="AB156" s="19"/>
      <c r="AC156" s="24">
        <f t="shared" si="34"/>
        <v>-305765.56999999995</v>
      </c>
      <c r="AD156" s="19"/>
      <c r="AE156" s="19"/>
      <c r="AF156" s="19"/>
      <c r="AG156" s="19"/>
      <c r="AH156" s="19"/>
      <c r="AI156" s="14"/>
      <c r="AJ156" s="139">
        <v>100</v>
      </c>
      <c r="AK156" s="135" t="s">
        <v>347</v>
      </c>
      <c r="AL156" s="136">
        <v>2729765</v>
      </c>
      <c r="AM156" s="138">
        <v>90</v>
      </c>
    </row>
    <row r="157" spans="1:39" s="27" customFormat="1" ht="66">
      <c r="A157" s="34" t="s">
        <v>876</v>
      </c>
      <c r="B157" s="34"/>
      <c r="C157" s="72"/>
      <c r="D157" s="72"/>
      <c r="E157" s="120" t="s">
        <v>901</v>
      </c>
      <c r="F157" s="120"/>
      <c r="G157" s="132" t="s">
        <v>418</v>
      </c>
      <c r="H157" s="132" t="s">
        <v>520</v>
      </c>
      <c r="I157" s="132" t="s">
        <v>108</v>
      </c>
      <c r="J157" s="133" t="s">
        <v>419</v>
      </c>
      <c r="K157" s="134" t="s">
        <v>539</v>
      </c>
      <c r="L157" s="307">
        <f t="shared" si="32"/>
        <v>300000</v>
      </c>
      <c r="M157" s="308"/>
      <c r="N157" s="308">
        <v>300000</v>
      </c>
      <c r="O157" s="296"/>
      <c r="P157" s="296"/>
      <c r="Q157" s="296"/>
      <c r="R157" s="84"/>
      <c r="S157" s="70">
        <f t="shared" si="29"/>
        <v>0</v>
      </c>
      <c r="T157" s="70"/>
      <c r="U157" s="70">
        <v>300000</v>
      </c>
      <c r="V157" s="9" t="s">
        <v>521</v>
      </c>
      <c r="W157" s="19"/>
      <c r="X157" s="19"/>
      <c r="Y157" s="67">
        <f t="shared" si="33"/>
        <v>300000</v>
      </c>
      <c r="Z157" s="52"/>
      <c r="AA157" s="52"/>
      <c r="AB157" s="19"/>
      <c r="AC157" s="24">
        <f t="shared" si="34"/>
        <v>0</v>
      </c>
      <c r="AD157" s="19"/>
      <c r="AE157" s="19"/>
      <c r="AF157" s="19"/>
      <c r="AG157" s="19"/>
      <c r="AH157" s="19"/>
      <c r="AI157" s="14"/>
      <c r="AJ157" s="139">
        <v>10</v>
      </c>
      <c r="AK157" s="135" t="s">
        <v>271</v>
      </c>
      <c r="AL157" s="136">
        <v>11972211</v>
      </c>
      <c r="AM157" s="138">
        <v>5</v>
      </c>
    </row>
    <row r="158" spans="1:39" s="27" customFormat="1" ht="33">
      <c r="A158" s="34" t="s">
        <v>876</v>
      </c>
      <c r="B158" s="34"/>
      <c r="C158" s="72"/>
      <c r="D158" s="72"/>
      <c r="E158" s="120" t="s">
        <v>904</v>
      </c>
      <c r="F158" s="120"/>
      <c r="G158" s="132" t="s">
        <v>418</v>
      </c>
      <c r="H158" s="132" t="s">
        <v>520</v>
      </c>
      <c r="I158" s="132" t="s">
        <v>108</v>
      </c>
      <c r="J158" s="133" t="s">
        <v>419</v>
      </c>
      <c r="K158" s="134" t="s">
        <v>815</v>
      </c>
      <c r="L158" s="307">
        <f t="shared" si="32"/>
        <v>300000</v>
      </c>
      <c r="M158" s="308"/>
      <c r="N158" s="308">
        <v>300000</v>
      </c>
      <c r="O158" s="296"/>
      <c r="P158" s="296"/>
      <c r="Q158" s="296"/>
      <c r="R158" s="84"/>
      <c r="S158" s="70">
        <f t="shared" si="29"/>
        <v>0</v>
      </c>
      <c r="T158" s="70"/>
      <c r="U158" s="70">
        <v>300000</v>
      </c>
      <c r="V158" s="9" t="s">
        <v>521</v>
      </c>
      <c r="W158" s="19"/>
      <c r="X158" s="19"/>
      <c r="Y158" s="67">
        <f t="shared" si="33"/>
        <v>300000</v>
      </c>
      <c r="Z158" s="52"/>
      <c r="AA158" s="52"/>
      <c r="AB158" s="19"/>
      <c r="AC158" s="24">
        <f t="shared" si="34"/>
        <v>-247000</v>
      </c>
      <c r="AD158" s="19"/>
      <c r="AE158" s="19"/>
      <c r="AF158" s="19"/>
      <c r="AG158" s="19"/>
      <c r="AH158" s="19"/>
      <c r="AI158" s="14"/>
      <c r="AJ158" s="139"/>
      <c r="AK158" s="135">
        <v>2021</v>
      </c>
      <c r="AL158" s="136">
        <v>300000</v>
      </c>
      <c r="AM158" s="138"/>
    </row>
    <row r="159" spans="1:39" s="27" customFormat="1" ht="49.5">
      <c r="A159" s="34" t="s">
        <v>876</v>
      </c>
      <c r="B159" s="34"/>
      <c r="C159" s="72"/>
      <c r="D159" s="72"/>
      <c r="E159" s="120" t="s">
        <v>906</v>
      </c>
      <c r="F159" s="120"/>
      <c r="G159" s="132" t="s">
        <v>418</v>
      </c>
      <c r="H159" s="132" t="s">
        <v>520</v>
      </c>
      <c r="I159" s="132" t="s">
        <v>108</v>
      </c>
      <c r="J159" s="133" t="s">
        <v>419</v>
      </c>
      <c r="K159" s="134" t="s">
        <v>1284</v>
      </c>
      <c r="L159" s="307">
        <f t="shared" si="32"/>
        <v>53000</v>
      </c>
      <c r="M159" s="308"/>
      <c r="N159" s="308">
        <v>53000</v>
      </c>
      <c r="O159" s="296"/>
      <c r="P159" s="296"/>
      <c r="Q159" s="296"/>
      <c r="R159" s="84"/>
      <c r="S159" s="70">
        <f t="shared" si="29"/>
        <v>0</v>
      </c>
      <c r="T159" s="70"/>
      <c r="U159" s="70">
        <v>53000</v>
      </c>
      <c r="V159" s="9" t="s">
        <v>521</v>
      </c>
      <c r="W159" s="19"/>
      <c r="X159" s="19">
        <v>53000</v>
      </c>
      <c r="Y159" s="67">
        <f t="shared" si="33"/>
        <v>0</v>
      </c>
      <c r="Z159" s="52"/>
      <c r="AA159" s="52"/>
      <c r="AB159" s="19"/>
      <c r="AC159" s="24">
        <f t="shared" si="34"/>
        <v>-3000</v>
      </c>
      <c r="AD159" s="19"/>
      <c r="AE159" s="19"/>
      <c r="AF159" s="19"/>
      <c r="AG159" s="19"/>
      <c r="AH159" s="19"/>
      <c r="AI159" s="14"/>
      <c r="AJ159" s="139">
        <v>10</v>
      </c>
      <c r="AK159" s="135">
        <v>2021</v>
      </c>
      <c r="AL159" s="136">
        <v>800000</v>
      </c>
      <c r="AM159" s="138">
        <v>10</v>
      </c>
    </row>
    <row r="160" spans="1:39" s="27" customFormat="1" ht="33">
      <c r="A160" s="34" t="s">
        <v>876</v>
      </c>
      <c r="B160" s="34"/>
      <c r="C160" s="72"/>
      <c r="D160" s="72"/>
      <c r="E160" s="120" t="s">
        <v>903</v>
      </c>
      <c r="F160" s="120"/>
      <c r="G160" s="132" t="s">
        <v>418</v>
      </c>
      <c r="H160" s="132" t="s">
        <v>520</v>
      </c>
      <c r="I160" s="132" t="s">
        <v>108</v>
      </c>
      <c r="J160" s="133" t="s">
        <v>419</v>
      </c>
      <c r="K160" s="134" t="s">
        <v>792</v>
      </c>
      <c r="L160" s="307">
        <f t="shared" si="32"/>
        <v>50000</v>
      </c>
      <c r="M160" s="308"/>
      <c r="N160" s="308">
        <v>50000</v>
      </c>
      <c r="O160" s="296"/>
      <c r="P160" s="296"/>
      <c r="Q160" s="296"/>
      <c r="R160" s="84"/>
      <c r="S160" s="70">
        <f t="shared" si="29"/>
        <v>0</v>
      </c>
      <c r="T160" s="70"/>
      <c r="U160" s="70">
        <v>50000</v>
      </c>
      <c r="V160" s="9" t="s">
        <v>756</v>
      </c>
      <c r="W160" s="19" t="s">
        <v>273</v>
      </c>
      <c r="X160" s="19"/>
      <c r="Y160" s="67">
        <f t="shared" si="33"/>
        <v>50000</v>
      </c>
      <c r="Z160" s="52"/>
      <c r="AA160" s="52"/>
      <c r="AB160" s="19">
        <v>300000</v>
      </c>
      <c r="AC160" s="24">
        <f t="shared" si="34"/>
        <v>1081679.8399999999</v>
      </c>
      <c r="AD160" s="19"/>
      <c r="AE160" s="19"/>
      <c r="AF160" s="19"/>
      <c r="AG160" s="19"/>
      <c r="AH160" s="19"/>
      <c r="AI160" s="14"/>
      <c r="AJ160" s="139">
        <v>5</v>
      </c>
      <c r="AK160" s="135">
        <v>2021</v>
      </c>
      <c r="AL160" s="136">
        <v>500000</v>
      </c>
      <c r="AM160" s="138">
        <v>5</v>
      </c>
    </row>
    <row r="161" spans="1:39" s="27" customFormat="1" ht="33">
      <c r="A161" s="34" t="s">
        <v>876</v>
      </c>
      <c r="B161" s="34"/>
      <c r="C161" s="72"/>
      <c r="D161" s="72"/>
      <c r="E161" s="120" t="s">
        <v>903</v>
      </c>
      <c r="F161" s="120"/>
      <c r="G161" s="132" t="s">
        <v>418</v>
      </c>
      <c r="H161" s="132" t="s">
        <v>520</v>
      </c>
      <c r="I161" s="132" t="s">
        <v>108</v>
      </c>
      <c r="J161" s="133" t="s">
        <v>419</v>
      </c>
      <c r="K161" s="134" t="s">
        <v>540</v>
      </c>
      <c r="L161" s="307">
        <f t="shared" si="32"/>
        <v>831679.84</v>
      </c>
      <c r="M161" s="308"/>
      <c r="N161" s="308">
        <v>831679.84</v>
      </c>
      <c r="O161" s="296"/>
      <c r="P161" s="296"/>
      <c r="Q161" s="296"/>
      <c r="R161" s="84"/>
      <c r="S161" s="70">
        <f t="shared" si="29"/>
        <v>0</v>
      </c>
      <c r="T161" s="70"/>
      <c r="U161" s="70">
        <v>831679.84</v>
      </c>
      <c r="V161" s="9" t="s">
        <v>521</v>
      </c>
      <c r="W161" s="19"/>
      <c r="X161" s="19">
        <v>700979.84</v>
      </c>
      <c r="Y161" s="67">
        <f t="shared" si="33"/>
        <v>130700</v>
      </c>
      <c r="Z161" s="52"/>
      <c r="AA161" s="52"/>
      <c r="AB161" s="19"/>
      <c r="AC161" s="24">
        <f t="shared" si="34"/>
        <v>-531679.84</v>
      </c>
      <c r="AD161" s="19"/>
      <c r="AE161" s="19"/>
      <c r="AF161" s="19"/>
      <c r="AG161" s="19"/>
      <c r="AH161" s="19"/>
      <c r="AI161" s="14"/>
      <c r="AJ161" s="139">
        <v>100</v>
      </c>
      <c r="AK161" s="135" t="s">
        <v>271</v>
      </c>
      <c r="AL161" s="136">
        <v>1598870</v>
      </c>
      <c r="AM161" s="138">
        <v>90</v>
      </c>
    </row>
    <row r="162" spans="1:39" s="27" customFormat="1" ht="49.5">
      <c r="A162" s="34" t="s">
        <v>876</v>
      </c>
      <c r="B162" s="34"/>
      <c r="C162" s="72"/>
      <c r="D162" s="72"/>
      <c r="E162" s="120" t="s">
        <v>906</v>
      </c>
      <c r="F162" s="120"/>
      <c r="G162" s="132" t="s">
        <v>418</v>
      </c>
      <c r="H162" s="132" t="s">
        <v>520</v>
      </c>
      <c r="I162" s="132" t="s">
        <v>108</v>
      </c>
      <c r="J162" s="133" t="s">
        <v>419</v>
      </c>
      <c r="K162" s="134" t="s">
        <v>1108</v>
      </c>
      <c r="L162" s="307">
        <f t="shared" si="32"/>
        <v>300000</v>
      </c>
      <c r="M162" s="308"/>
      <c r="N162" s="308">
        <v>300000</v>
      </c>
      <c r="O162" s="296"/>
      <c r="P162" s="296"/>
      <c r="Q162" s="296"/>
      <c r="R162" s="84"/>
      <c r="S162" s="70">
        <f t="shared" si="29"/>
        <v>0</v>
      </c>
      <c r="T162" s="70"/>
      <c r="U162" s="70">
        <v>300000</v>
      </c>
      <c r="V162" s="9" t="s">
        <v>758</v>
      </c>
      <c r="W162" s="19" t="s">
        <v>273</v>
      </c>
      <c r="X162" s="19"/>
      <c r="Y162" s="67">
        <f t="shared" si="33"/>
        <v>300000</v>
      </c>
      <c r="Z162" s="52"/>
      <c r="AA162" s="52"/>
      <c r="AB162" s="19"/>
      <c r="AC162" s="24">
        <f t="shared" si="34"/>
        <v>200000</v>
      </c>
      <c r="AD162" s="19"/>
      <c r="AE162" s="19"/>
      <c r="AF162" s="19"/>
      <c r="AG162" s="19"/>
      <c r="AH162" s="19"/>
      <c r="AI162" s="14"/>
      <c r="AJ162" s="139">
        <v>20</v>
      </c>
      <c r="AK162" s="135" t="s">
        <v>272</v>
      </c>
      <c r="AL162" s="136">
        <v>3000000</v>
      </c>
      <c r="AM162" s="138">
        <v>10</v>
      </c>
    </row>
    <row r="163" spans="1:39" s="27" customFormat="1" ht="49.5">
      <c r="A163" s="34" t="s">
        <v>876</v>
      </c>
      <c r="B163" s="34"/>
      <c r="C163" s="72"/>
      <c r="D163" s="72"/>
      <c r="E163" s="120" t="s">
        <v>906</v>
      </c>
      <c r="F163" s="120"/>
      <c r="G163" s="132" t="s">
        <v>418</v>
      </c>
      <c r="H163" s="132" t="s">
        <v>520</v>
      </c>
      <c r="I163" s="132" t="s">
        <v>108</v>
      </c>
      <c r="J163" s="133" t="s">
        <v>419</v>
      </c>
      <c r="K163" s="134" t="s">
        <v>1050</v>
      </c>
      <c r="L163" s="307">
        <f t="shared" si="32"/>
        <v>500000</v>
      </c>
      <c r="M163" s="308"/>
      <c r="N163" s="308">
        <v>500000</v>
      </c>
      <c r="O163" s="296"/>
      <c r="P163" s="296"/>
      <c r="Q163" s="296"/>
      <c r="R163" s="84"/>
      <c r="S163" s="70">
        <f t="shared" si="29"/>
        <v>0</v>
      </c>
      <c r="T163" s="70"/>
      <c r="U163" s="70">
        <v>500000</v>
      </c>
      <c r="V163" s="9" t="s">
        <v>758</v>
      </c>
      <c r="W163" s="19" t="s">
        <v>273</v>
      </c>
      <c r="X163" s="19"/>
      <c r="Y163" s="67">
        <f t="shared" si="33"/>
        <v>500000</v>
      </c>
      <c r="Z163" s="52"/>
      <c r="AA163" s="52"/>
      <c r="AB163" s="19"/>
      <c r="AC163" s="24">
        <f t="shared" si="34"/>
        <v>500000</v>
      </c>
      <c r="AD163" s="19"/>
      <c r="AE163" s="19"/>
      <c r="AF163" s="19"/>
      <c r="AG163" s="19"/>
      <c r="AH163" s="19"/>
      <c r="AI163" s="14"/>
      <c r="AJ163" s="139">
        <v>20</v>
      </c>
      <c r="AK163" s="135" t="s">
        <v>272</v>
      </c>
      <c r="AL163" s="136">
        <v>3000000</v>
      </c>
      <c r="AM163" s="138">
        <v>15</v>
      </c>
    </row>
    <row r="164" spans="1:39" s="27" customFormat="1" ht="49.5">
      <c r="A164" s="34" t="s">
        <v>876</v>
      </c>
      <c r="B164" s="34"/>
      <c r="C164" s="72"/>
      <c r="D164" s="72"/>
      <c r="E164" s="120" t="s">
        <v>903</v>
      </c>
      <c r="F164" s="120"/>
      <c r="G164" s="132" t="s">
        <v>418</v>
      </c>
      <c r="H164" s="132" t="s">
        <v>520</v>
      </c>
      <c r="I164" s="132" t="s">
        <v>108</v>
      </c>
      <c r="J164" s="133" t="s">
        <v>419</v>
      </c>
      <c r="K164" s="134" t="s">
        <v>541</v>
      </c>
      <c r="L164" s="307">
        <f t="shared" si="32"/>
        <v>1000000</v>
      </c>
      <c r="M164" s="308"/>
      <c r="N164" s="308">
        <v>1000000</v>
      </c>
      <c r="O164" s="296"/>
      <c r="P164" s="296"/>
      <c r="Q164" s="296"/>
      <c r="R164" s="84"/>
      <c r="S164" s="70">
        <f t="shared" si="29"/>
        <v>0</v>
      </c>
      <c r="T164" s="70"/>
      <c r="U164" s="70">
        <v>1000000</v>
      </c>
      <c r="V164" s="9" t="s">
        <v>521</v>
      </c>
      <c r="W164" s="19"/>
      <c r="X164" s="19">
        <v>500000</v>
      </c>
      <c r="Y164" s="67">
        <f t="shared" si="33"/>
        <v>500000</v>
      </c>
      <c r="Z164" s="52"/>
      <c r="AA164" s="52"/>
      <c r="AB164" s="19"/>
      <c r="AC164" s="24">
        <f t="shared" si="34"/>
        <v>-900000</v>
      </c>
      <c r="AD164" s="19"/>
      <c r="AE164" s="19"/>
      <c r="AF164" s="19"/>
      <c r="AG164" s="19"/>
      <c r="AH164" s="19"/>
      <c r="AI164" s="14"/>
      <c r="AJ164" s="139">
        <v>60</v>
      </c>
      <c r="AK164" s="135" t="s">
        <v>272</v>
      </c>
      <c r="AL164" s="136">
        <v>1847138</v>
      </c>
      <c r="AM164" s="138">
        <v>15</v>
      </c>
    </row>
    <row r="165" spans="1:39" s="27" customFormat="1" ht="33">
      <c r="A165" s="34" t="s">
        <v>876</v>
      </c>
      <c r="B165" s="34"/>
      <c r="C165" s="72"/>
      <c r="D165" s="72"/>
      <c r="E165" s="120" t="s">
        <v>903</v>
      </c>
      <c r="F165" s="120"/>
      <c r="G165" s="132" t="s">
        <v>418</v>
      </c>
      <c r="H165" s="132" t="s">
        <v>520</v>
      </c>
      <c r="I165" s="132" t="s">
        <v>108</v>
      </c>
      <c r="J165" s="133" t="s">
        <v>419</v>
      </c>
      <c r="K165" s="134" t="s">
        <v>793</v>
      </c>
      <c r="L165" s="307">
        <f t="shared" si="32"/>
        <v>100000</v>
      </c>
      <c r="M165" s="308"/>
      <c r="N165" s="308">
        <v>100000</v>
      </c>
      <c r="O165" s="296"/>
      <c r="P165" s="296"/>
      <c r="Q165" s="296"/>
      <c r="R165" s="84"/>
      <c r="S165" s="70">
        <f t="shared" si="29"/>
        <v>0</v>
      </c>
      <c r="T165" s="70"/>
      <c r="U165" s="70">
        <v>100000</v>
      </c>
      <c r="V165" s="9" t="s">
        <v>521</v>
      </c>
      <c r="W165" s="19"/>
      <c r="X165" s="19"/>
      <c r="Y165" s="67">
        <f t="shared" si="33"/>
        <v>100000</v>
      </c>
      <c r="Z165" s="52"/>
      <c r="AA165" s="52"/>
      <c r="AB165" s="19"/>
      <c r="AC165" s="24">
        <f t="shared" si="34"/>
        <v>0</v>
      </c>
      <c r="AD165" s="19"/>
      <c r="AE165" s="19"/>
      <c r="AF165" s="19"/>
      <c r="AG165" s="19"/>
      <c r="AH165" s="19"/>
      <c r="AI165" s="14"/>
      <c r="AJ165" s="139">
        <v>5</v>
      </c>
      <c r="AK165" s="135" t="s">
        <v>331</v>
      </c>
      <c r="AL165" s="136">
        <v>1800000</v>
      </c>
      <c r="AM165" s="138">
        <v>5</v>
      </c>
    </row>
    <row r="166" spans="1:39" s="27" customFormat="1" ht="33">
      <c r="A166" s="34" t="s">
        <v>876</v>
      </c>
      <c r="B166" s="34"/>
      <c r="C166" s="72"/>
      <c r="D166" s="72"/>
      <c r="E166" s="120" t="s">
        <v>902</v>
      </c>
      <c r="F166" s="120"/>
      <c r="G166" s="132" t="s">
        <v>418</v>
      </c>
      <c r="H166" s="132" t="s">
        <v>520</v>
      </c>
      <c r="I166" s="132" t="s">
        <v>108</v>
      </c>
      <c r="J166" s="133" t="s">
        <v>419</v>
      </c>
      <c r="K166" s="134" t="s">
        <v>794</v>
      </c>
      <c r="L166" s="307">
        <f t="shared" si="32"/>
        <v>100000</v>
      </c>
      <c r="M166" s="308"/>
      <c r="N166" s="308">
        <v>100000</v>
      </c>
      <c r="O166" s="296"/>
      <c r="P166" s="296"/>
      <c r="Q166" s="296"/>
      <c r="R166" s="84"/>
      <c r="S166" s="70">
        <f t="shared" si="29"/>
        <v>0</v>
      </c>
      <c r="T166" s="70"/>
      <c r="U166" s="70">
        <v>100000</v>
      </c>
      <c r="V166" s="9" t="s">
        <v>521</v>
      </c>
      <c r="W166" s="19"/>
      <c r="X166" s="19"/>
      <c r="Y166" s="67">
        <f t="shared" si="33"/>
        <v>100000</v>
      </c>
      <c r="Z166" s="52"/>
      <c r="AA166" s="52"/>
      <c r="AB166" s="19"/>
      <c r="AC166" s="24">
        <f t="shared" si="34"/>
        <v>1900000</v>
      </c>
      <c r="AD166" s="19"/>
      <c r="AE166" s="19"/>
      <c r="AF166" s="19"/>
      <c r="AG166" s="19"/>
      <c r="AH166" s="19"/>
      <c r="AI166" s="14"/>
      <c r="AJ166" s="139">
        <v>5</v>
      </c>
      <c r="AK166" s="135" t="s">
        <v>331</v>
      </c>
      <c r="AL166" s="136">
        <v>1000000</v>
      </c>
      <c r="AM166" s="138">
        <v>5</v>
      </c>
    </row>
    <row r="167" spans="1:39" s="27" customFormat="1" ht="33">
      <c r="A167" s="34" t="s">
        <v>876</v>
      </c>
      <c r="B167" s="34"/>
      <c r="C167" s="72"/>
      <c r="D167" s="72"/>
      <c r="E167" s="120" t="s">
        <v>905</v>
      </c>
      <c r="F167" s="120"/>
      <c r="G167" s="132" t="s">
        <v>418</v>
      </c>
      <c r="H167" s="132" t="s">
        <v>520</v>
      </c>
      <c r="I167" s="132" t="s">
        <v>108</v>
      </c>
      <c r="J167" s="133" t="s">
        <v>419</v>
      </c>
      <c r="K167" s="134" t="s">
        <v>795</v>
      </c>
      <c r="L167" s="307">
        <f t="shared" si="32"/>
        <v>2000000</v>
      </c>
      <c r="M167" s="308"/>
      <c r="N167" s="308">
        <v>2000000</v>
      </c>
      <c r="O167" s="296"/>
      <c r="P167" s="296"/>
      <c r="Q167" s="296"/>
      <c r="R167" s="84"/>
      <c r="S167" s="70">
        <f t="shared" si="29"/>
        <v>0</v>
      </c>
      <c r="T167" s="70"/>
      <c r="U167" s="70">
        <v>2000000</v>
      </c>
      <c r="V167" s="9" t="s">
        <v>521</v>
      </c>
      <c r="W167" s="19"/>
      <c r="X167" s="19"/>
      <c r="Y167" s="67">
        <f t="shared" si="33"/>
        <v>2000000</v>
      </c>
      <c r="Z167" s="52"/>
      <c r="AA167" s="52"/>
      <c r="AB167" s="19"/>
      <c r="AC167" s="24">
        <f t="shared" si="34"/>
        <v>0</v>
      </c>
      <c r="AD167" s="19"/>
      <c r="AE167" s="19"/>
      <c r="AF167" s="19"/>
      <c r="AG167" s="19"/>
      <c r="AH167" s="19"/>
      <c r="AI167" s="14"/>
      <c r="AJ167" s="139">
        <v>100</v>
      </c>
      <c r="AK167" s="135" t="s">
        <v>331</v>
      </c>
      <c r="AL167" s="136">
        <v>2000000</v>
      </c>
      <c r="AM167" s="138">
        <v>5</v>
      </c>
    </row>
    <row r="168" spans="1:39" s="27" customFormat="1" ht="36" customHeight="1">
      <c r="A168" s="34" t="s">
        <v>876</v>
      </c>
      <c r="B168" s="34"/>
      <c r="C168" s="72"/>
      <c r="D168" s="72"/>
      <c r="E168" s="120" t="s">
        <v>905</v>
      </c>
      <c r="F168" s="120"/>
      <c r="G168" s="132" t="s">
        <v>418</v>
      </c>
      <c r="H168" s="132" t="s">
        <v>520</v>
      </c>
      <c r="I168" s="132" t="s">
        <v>108</v>
      </c>
      <c r="J168" s="133" t="s">
        <v>419</v>
      </c>
      <c r="K168" s="134" t="s">
        <v>542</v>
      </c>
      <c r="L168" s="307">
        <f t="shared" si="32"/>
        <v>2000000</v>
      </c>
      <c r="M168" s="308"/>
      <c r="N168" s="308">
        <v>2000000</v>
      </c>
      <c r="O168" s="296"/>
      <c r="P168" s="296"/>
      <c r="Q168" s="296"/>
      <c r="R168" s="84"/>
      <c r="S168" s="70">
        <f t="shared" ref="S168:S231" si="35">N168-U168</f>
        <v>0</v>
      </c>
      <c r="T168" s="70"/>
      <c r="U168" s="70">
        <v>2000000</v>
      </c>
      <c r="V168" s="9" t="s">
        <v>758</v>
      </c>
      <c r="W168" s="19" t="s">
        <v>273</v>
      </c>
      <c r="X168" s="19"/>
      <c r="Y168" s="67">
        <f t="shared" si="33"/>
        <v>2000000</v>
      </c>
      <c r="Z168" s="52"/>
      <c r="AA168" s="52"/>
      <c r="AB168" s="19"/>
      <c r="AC168" s="24">
        <f t="shared" si="34"/>
        <v>-1637709.21</v>
      </c>
      <c r="AD168" s="19"/>
      <c r="AE168" s="19"/>
      <c r="AF168" s="19"/>
      <c r="AG168" s="19"/>
      <c r="AH168" s="19"/>
      <c r="AI168" s="14"/>
      <c r="AJ168" s="139">
        <v>25</v>
      </c>
      <c r="AK168" s="135" t="s">
        <v>402</v>
      </c>
      <c r="AL168" s="136">
        <v>9216097</v>
      </c>
      <c r="AM168" s="138">
        <v>5</v>
      </c>
    </row>
    <row r="169" spans="1:39" s="27" customFormat="1" ht="49.5">
      <c r="A169" s="34" t="s">
        <v>876</v>
      </c>
      <c r="B169" s="34"/>
      <c r="C169" s="72"/>
      <c r="D169" s="72"/>
      <c r="E169" s="120" t="s">
        <v>905</v>
      </c>
      <c r="F169" s="120"/>
      <c r="G169" s="132" t="s">
        <v>418</v>
      </c>
      <c r="H169" s="132" t="s">
        <v>520</v>
      </c>
      <c r="I169" s="132" t="s">
        <v>108</v>
      </c>
      <c r="J169" s="133" t="s">
        <v>419</v>
      </c>
      <c r="K169" s="134" t="s">
        <v>543</v>
      </c>
      <c r="L169" s="307">
        <f t="shared" si="32"/>
        <v>362290.79</v>
      </c>
      <c r="M169" s="308"/>
      <c r="N169" s="308">
        <v>362290.79</v>
      </c>
      <c r="O169" s="296"/>
      <c r="P169" s="296"/>
      <c r="Q169" s="296"/>
      <c r="R169" s="84"/>
      <c r="S169" s="70">
        <f t="shared" si="35"/>
        <v>0</v>
      </c>
      <c r="T169" s="70"/>
      <c r="U169" s="70">
        <v>362290.79</v>
      </c>
      <c r="V169" s="9" t="s">
        <v>758</v>
      </c>
      <c r="W169" s="19" t="s">
        <v>273</v>
      </c>
      <c r="X169" s="19"/>
      <c r="Y169" s="67">
        <f t="shared" si="33"/>
        <v>362290.79</v>
      </c>
      <c r="Z169" s="52"/>
      <c r="AA169" s="52"/>
      <c r="AB169" s="19"/>
      <c r="AC169" s="24">
        <f t="shared" si="34"/>
        <v>137709.21000000002</v>
      </c>
      <c r="AD169" s="19"/>
      <c r="AE169" s="19"/>
      <c r="AF169" s="19"/>
      <c r="AG169" s="19"/>
      <c r="AH169" s="19"/>
      <c r="AI169" s="14"/>
      <c r="AJ169" s="139">
        <v>100</v>
      </c>
      <c r="AK169" s="135" t="s">
        <v>271</v>
      </c>
      <c r="AL169" s="136">
        <v>500000</v>
      </c>
      <c r="AM169" s="138">
        <v>25</v>
      </c>
    </row>
    <row r="170" spans="1:39" s="27" customFormat="1" ht="33">
      <c r="A170" s="34" t="s">
        <v>876</v>
      </c>
      <c r="B170" s="34"/>
      <c r="C170" s="72"/>
      <c r="D170" s="72"/>
      <c r="E170" s="120" t="s">
        <v>905</v>
      </c>
      <c r="F170" s="120"/>
      <c r="G170" s="132" t="s">
        <v>418</v>
      </c>
      <c r="H170" s="132" t="s">
        <v>520</v>
      </c>
      <c r="I170" s="132" t="s">
        <v>108</v>
      </c>
      <c r="J170" s="133" t="s">
        <v>419</v>
      </c>
      <c r="K170" s="134" t="s">
        <v>544</v>
      </c>
      <c r="L170" s="307">
        <f t="shared" si="32"/>
        <v>500000</v>
      </c>
      <c r="M170" s="308"/>
      <c r="N170" s="308">
        <v>500000</v>
      </c>
      <c r="O170" s="296"/>
      <c r="P170" s="296"/>
      <c r="Q170" s="296"/>
      <c r="R170" s="84"/>
      <c r="S170" s="70">
        <f t="shared" si="35"/>
        <v>0</v>
      </c>
      <c r="T170" s="70"/>
      <c r="U170" s="70">
        <v>500000</v>
      </c>
      <c r="V170" s="42" t="s">
        <v>521</v>
      </c>
      <c r="W170" s="19"/>
      <c r="X170" s="19"/>
      <c r="Y170" s="67">
        <f t="shared" si="33"/>
        <v>500000</v>
      </c>
      <c r="Z170" s="52"/>
      <c r="AA170" s="52"/>
      <c r="AB170" s="19"/>
      <c r="AC170" s="24">
        <f t="shared" si="34"/>
        <v>1500000</v>
      </c>
      <c r="AD170" s="19"/>
      <c r="AE170" s="19"/>
      <c r="AF170" s="19"/>
      <c r="AG170" s="19"/>
      <c r="AH170" s="19"/>
      <c r="AI170" s="14"/>
      <c r="AJ170" s="139">
        <v>35</v>
      </c>
      <c r="AK170" s="135" t="s">
        <v>272</v>
      </c>
      <c r="AL170" s="136">
        <v>2848189</v>
      </c>
      <c r="AM170" s="138">
        <v>30</v>
      </c>
    </row>
    <row r="171" spans="1:39" s="27" customFormat="1" ht="33">
      <c r="A171" s="34" t="s">
        <v>876</v>
      </c>
      <c r="B171" s="34"/>
      <c r="C171" s="72"/>
      <c r="D171" s="72"/>
      <c r="E171" s="120" t="s">
        <v>905</v>
      </c>
      <c r="F171" s="120"/>
      <c r="G171" s="132" t="s">
        <v>418</v>
      </c>
      <c r="H171" s="132" t="s">
        <v>520</v>
      </c>
      <c r="I171" s="132" t="s">
        <v>108</v>
      </c>
      <c r="J171" s="133" t="s">
        <v>419</v>
      </c>
      <c r="K171" s="134" t="s">
        <v>545</v>
      </c>
      <c r="L171" s="307">
        <f t="shared" si="32"/>
        <v>2000000</v>
      </c>
      <c r="M171" s="308"/>
      <c r="N171" s="308">
        <v>2000000</v>
      </c>
      <c r="O171" s="296"/>
      <c r="P171" s="296"/>
      <c r="Q171" s="296"/>
      <c r="R171" s="84"/>
      <c r="S171" s="70">
        <f t="shared" si="35"/>
        <v>0</v>
      </c>
      <c r="T171" s="70"/>
      <c r="U171" s="70">
        <v>2000000</v>
      </c>
      <c r="V171" s="9" t="s">
        <v>521</v>
      </c>
      <c r="W171" s="19"/>
      <c r="X171" s="19"/>
      <c r="Y171" s="67">
        <f t="shared" si="33"/>
        <v>2000000</v>
      </c>
      <c r="Z171" s="52"/>
      <c r="AA171" s="52"/>
      <c r="AB171" s="19"/>
      <c r="AC171" s="24">
        <f t="shared" si="34"/>
        <v>-1000000</v>
      </c>
      <c r="AD171" s="19"/>
      <c r="AE171" s="19"/>
      <c r="AF171" s="19"/>
      <c r="AG171" s="19"/>
      <c r="AH171" s="19"/>
      <c r="AI171" s="14"/>
      <c r="AJ171" s="139">
        <v>60</v>
      </c>
      <c r="AK171" s="135" t="s">
        <v>272</v>
      </c>
      <c r="AL171" s="136">
        <v>6715294</v>
      </c>
      <c r="AM171" s="138">
        <v>50</v>
      </c>
    </row>
    <row r="172" spans="1:39" s="27" customFormat="1" ht="49.5">
      <c r="A172" s="34" t="s">
        <v>876</v>
      </c>
      <c r="B172" s="34"/>
      <c r="C172" s="72"/>
      <c r="D172" s="72"/>
      <c r="E172" s="120" t="s">
        <v>902</v>
      </c>
      <c r="F172" s="120"/>
      <c r="G172" s="132" t="s">
        <v>418</v>
      </c>
      <c r="H172" s="132" t="s">
        <v>520</v>
      </c>
      <c r="I172" s="132" t="s">
        <v>108</v>
      </c>
      <c r="J172" s="133" t="s">
        <v>419</v>
      </c>
      <c r="K172" s="134" t="s">
        <v>1269</v>
      </c>
      <c r="L172" s="307">
        <f t="shared" si="32"/>
        <v>1000000</v>
      </c>
      <c r="M172" s="308"/>
      <c r="N172" s="308">
        <v>1000000</v>
      </c>
      <c r="O172" s="296"/>
      <c r="P172" s="296"/>
      <c r="Q172" s="296"/>
      <c r="R172" s="84"/>
      <c r="S172" s="70">
        <f t="shared" si="35"/>
        <v>0</v>
      </c>
      <c r="T172" s="70"/>
      <c r="U172" s="70">
        <v>1000000</v>
      </c>
      <c r="V172" s="9" t="s">
        <v>521</v>
      </c>
      <c r="W172" s="19"/>
      <c r="X172" s="19"/>
      <c r="Y172" s="67">
        <f t="shared" si="33"/>
        <v>1000000</v>
      </c>
      <c r="Z172" s="52"/>
      <c r="AA172" s="52"/>
      <c r="AB172" s="19"/>
      <c r="AC172" s="24">
        <f t="shared" si="34"/>
        <v>0</v>
      </c>
      <c r="AD172" s="19"/>
      <c r="AE172" s="19"/>
      <c r="AF172" s="19"/>
      <c r="AG172" s="19"/>
      <c r="AH172" s="19"/>
      <c r="AI172" s="14"/>
      <c r="AJ172" s="139">
        <v>70</v>
      </c>
      <c r="AK172" s="135" t="s">
        <v>272</v>
      </c>
      <c r="AL172" s="136">
        <v>1500000</v>
      </c>
      <c r="AM172" s="138">
        <v>15</v>
      </c>
    </row>
    <row r="173" spans="1:39" s="27" customFormat="1" ht="33">
      <c r="A173" s="34" t="s">
        <v>876</v>
      </c>
      <c r="B173" s="34"/>
      <c r="C173" s="72"/>
      <c r="D173" s="72"/>
      <c r="E173" s="120" t="s">
        <v>905</v>
      </c>
      <c r="F173" s="120"/>
      <c r="G173" s="132" t="s">
        <v>418</v>
      </c>
      <c r="H173" s="132" t="s">
        <v>520</v>
      </c>
      <c r="I173" s="132" t="s">
        <v>108</v>
      </c>
      <c r="J173" s="133" t="s">
        <v>419</v>
      </c>
      <c r="K173" s="134" t="s">
        <v>547</v>
      </c>
      <c r="L173" s="307">
        <f t="shared" si="32"/>
        <v>1000000</v>
      </c>
      <c r="M173" s="308"/>
      <c r="N173" s="308">
        <v>1000000</v>
      </c>
      <c r="O173" s="296"/>
      <c r="P173" s="296"/>
      <c r="Q173" s="296"/>
      <c r="R173" s="84"/>
      <c r="S173" s="70">
        <f t="shared" si="35"/>
        <v>0</v>
      </c>
      <c r="T173" s="70"/>
      <c r="U173" s="70">
        <v>1000000</v>
      </c>
      <c r="V173" s="9" t="s">
        <v>521</v>
      </c>
      <c r="W173" s="19"/>
      <c r="X173" s="19">
        <v>500000</v>
      </c>
      <c r="Y173" s="67">
        <f t="shared" si="33"/>
        <v>500000</v>
      </c>
      <c r="Z173" s="52"/>
      <c r="AA173" s="52"/>
      <c r="AB173" s="19"/>
      <c r="AC173" s="24">
        <f t="shared" si="34"/>
        <v>-300000</v>
      </c>
      <c r="AD173" s="19"/>
      <c r="AE173" s="19"/>
      <c r="AF173" s="19"/>
      <c r="AG173" s="19"/>
      <c r="AH173" s="19"/>
      <c r="AI173" s="14"/>
      <c r="AJ173" s="139">
        <v>35</v>
      </c>
      <c r="AK173" s="135" t="s">
        <v>272</v>
      </c>
      <c r="AL173" s="136">
        <v>4807169</v>
      </c>
      <c r="AM173" s="138">
        <v>30</v>
      </c>
    </row>
    <row r="174" spans="1:39" s="27" customFormat="1" ht="33">
      <c r="A174" s="34" t="s">
        <v>876</v>
      </c>
      <c r="B174" s="34"/>
      <c r="C174" s="72"/>
      <c r="D174" s="72"/>
      <c r="E174" s="120" t="s">
        <v>902</v>
      </c>
      <c r="F174" s="120"/>
      <c r="G174" s="132" t="s">
        <v>418</v>
      </c>
      <c r="H174" s="132" t="s">
        <v>520</v>
      </c>
      <c r="I174" s="132" t="s">
        <v>108</v>
      </c>
      <c r="J174" s="133" t="s">
        <v>419</v>
      </c>
      <c r="K174" s="134" t="s">
        <v>548</v>
      </c>
      <c r="L174" s="307">
        <f t="shared" si="32"/>
        <v>700000</v>
      </c>
      <c r="M174" s="308"/>
      <c r="N174" s="308">
        <v>700000</v>
      </c>
      <c r="O174" s="296"/>
      <c r="P174" s="296"/>
      <c r="Q174" s="296"/>
      <c r="R174" s="84"/>
      <c r="S174" s="70">
        <f t="shared" si="35"/>
        <v>0</v>
      </c>
      <c r="T174" s="70"/>
      <c r="U174" s="70">
        <v>700000</v>
      </c>
      <c r="V174" s="69" t="s">
        <v>756</v>
      </c>
      <c r="W174" s="19" t="s">
        <v>273</v>
      </c>
      <c r="X174" s="19">
        <v>150000</v>
      </c>
      <c r="Y174" s="67">
        <f t="shared" si="33"/>
        <v>550000</v>
      </c>
      <c r="Z174" s="52"/>
      <c r="AA174" s="52"/>
      <c r="AB174" s="19">
        <v>110000</v>
      </c>
      <c r="AC174" s="24">
        <f t="shared" si="34"/>
        <v>410000</v>
      </c>
      <c r="AD174" s="19"/>
      <c r="AE174" s="19"/>
      <c r="AF174" s="19"/>
      <c r="AG174" s="19"/>
      <c r="AH174" s="19"/>
      <c r="AI174" s="14"/>
      <c r="AJ174" s="139">
        <v>55.000000000000007</v>
      </c>
      <c r="AK174" s="135" t="s">
        <v>272</v>
      </c>
      <c r="AL174" s="136">
        <v>1988462</v>
      </c>
      <c r="AM174" s="138">
        <v>30</v>
      </c>
    </row>
    <row r="175" spans="1:39" s="27" customFormat="1" ht="33">
      <c r="A175" s="34" t="s">
        <v>876</v>
      </c>
      <c r="B175" s="34"/>
      <c r="C175" s="72"/>
      <c r="D175" s="72"/>
      <c r="E175" s="120" t="s">
        <v>905</v>
      </c>
      <c r="F175" s="120"/>
      <c r="G175" s="132" t="s">
        <v>418</v>
      </c>
      <c r="H175" s="132" t="s">
        <v>520</v>
      </c>
      <c r="I175" s="132" t="s">
        <v>108</v>
      </c>
      <c r="J175" s="133" t="s">
        <v>419</v>
      </c>
      <c r="K175" s="134" t="s">
        <v>1051</v>
      </c>
      <c r="L175" s="307">
        <f t="shared" si="32"/>
        <v>1000000</v>
      </c>
      <c r="M175" s="308"/>
      <c r="N175" s="308">
        <v>1000000</v>
      </c>
      <c r="O175" s="296"/>
      <c r="P175" s="296"/>
      <c r="Q175" s="296"/>
      <c r="R175" s="84"/>
      <c r="S175" s="70">
        <f t="shared" si="35"/>
        <v>0</v>
      </c>
      <c r="T175" s="70"/>
      <c r="U175" s="70">
        <v>1000000</v>
      </c>
      <c r="V175" s="9" t="s">
        <v>756</v>
      </c>
      <c r="W175" s="19" t="s">
        <v>546</v>
      </c>
      <c r="X175" s="19"/>
      <c r="Y175" s="67">
        <f t="shared" si="33"/>
        <v>1000000</v>
      </c>
      <c r="Z175" s="52"/>
      <c r="AA175" s="52"/>
      <c r="AB175" s="19">
        <v>500000</v>
      </c>
      <c r="AC175" s="24">
        <f t="shared" si="34"/>
        <v>632378</v>
      </c>
      <c r="AD175" s="19"/>
      <c r="AE175" s="19"/>
      <c r="AF175" s="19"/>
      <c r="AG175" s="19"/>
      <c r="AH175" s="19"/>
      <c r="AI175" s="14"/>
      <c r="AJ175" s="139">
        <v>20</v>
      </c>
      <c r="AK175" s="135" t="s">
        <v>272</v>
      </c>
      <c r="AL175" s="136">
        <v>5926358</v>
      </c>
      <c r="AM175" s="138">
        <v>10</v>
      </c>
    </row>
    <row r="176" spans="1:39" s="27" customFormat="1" ht="33">
      <c r="A176" s="34" t="s">
        <v>876</v>
      </c>
      <c r="B176" s="34"/>
      <c r="C176" s="72"/>
      <c r="D176" s="72"/>
      <c r="E176" s="120" t="s">
        <v>902</v>
      </c>
      <c r="F176" s="120"/>
      <c r="G176" s="132" t="s">
        <v>418</v>
      </c>
      <c r="H176" s="132" t="s">
        <v>520</v>
      </c>
      <c r="I176" s="132" t="s">
        <v>108</v>
      </c>
      <c r="J176" s="133" t="s">
        <v>419</v>
      </c>
      <c r="K176" s="134" t="s">
        <v>549</v>
      </c>
      <c r="L176" s="307">
        <f t="shared" si="32"/>
        <v>1132378</v>
      </c>
      <c r="M176" s="308"/>
      <c r="N176" s="308">
        <v>1132378</v>
      </c>
      <c r="O176" s="296"/>
      <c r="P176" s="296"/>
      <c r="Q176" s="296"/>
      <c r="R176" s="84"/>
      <c r="S176" s="70">
        <f t="shared" si="35"/>
        <v>0</v>
      </c>
      <c r="T176" s="70"/>
      <c r="U176" s="70">
        <v>1132378</v>
      </c>
      <c r="V176" s="9" t="s">
        <v>521</v>
      </c>
      <c r="W176" s="19"/>
      <c r="X176" s="19">
        <v>800000</v>
      </c>
      <c r="Y176" s="67">
        <f t="shared" si="33"/>
        <v>332378</v>
      </c>
      <c r="Z176" s="52"/>
      <c r="AA176" s="52"/>
      <c r="AB176" s="19"/>
      <c r="AC176" s="24">
        <f t="shared" si="34"/>
        <v>-622378</v>
      </c>
      <c r="AD176" s="19"/>
      <c r="AE176" s="19"/>
      <c r="AF176" s="19"/>
      <c r="AG176" s="19"/>
      <c r="AH176" s="19"/>
      <c r="AI176" s="14"/>
      <c r="AJ176" s="139">
        <v>100</v>
      </c>
      <c r="AK176" s="135" t="s">
        <v>271</v>
      </c>
      <c r="AL176" s="136">
        <v>1172378</v>
      </c>
      <c r="AM176" s="138">
        <v>90</v>
      </c>
    </row>
    <row r="177" spans="1:39" s="27" customFormat="1" ht="33">
      <c r="A177" s="34" t="s">
        <v>876</v>
      </c>
      <c r="B177" s="34"/>
      <c r="C177" s="72"/>
      <c r="D177" s="72"/>
      <c r="E177" s="120" t="s">
        <v>903</v>
      </c>
      <c r="F177" s="120"/>
      <c r="G177" s="132" t="s">
        <v>418</v>
      </c>
      <c r="H177" s="132" t="s">
        <v>520</v>
      </c>
      <c r="I177" s="132" t="s">
        <v>108</v>
      </c>
      <c r="J177" s="133" t="s">
        <v>419</v>
      </c>
      <c r="K177" s="134" t="s">
        <v>550</v>
      </c>
      <c r="L177" s="307">
        <f t="shared" si="32"/>
        <v>510000</v>
      </c>
      <c r="M177" s="308"/>
      <c r="N177" s="308">
        <v>510000</v>
      </c>
      <c r="O177" s="296"/>
      <c r="P177" s="296"/>
      <c r="Q177" s="296"/>
      <c r="R177" s="84"/>
      <c r="S177" s="70">
        <f t="shared" si="35"/>
        <v>0</v>
      </c>
      <c r="T177" s="70"/>
      <c r="U177" s="70">
        <v>510000</v>
      </c>
      <c r="V177" s="9" t="s">
        <v>521</v>
      </c>
      <c r="W177" s="19"/>
      <c r="X177" s="19">
        <v>510000</v>
      </c>
      <c r="Y177" s="67">
        <f t="shared" si="33"/>
        <v>0</v>
      </c>
      <c r="Z177" s="52"/>
      <c r="AA177" s="52"/>
      <c r="AB177" s="19"/>
      <c r="AC177" s="24">
        <f t="shared" si="34"/>
        <v>1813202.9300000002</v>
      </c>
      <c r="AD177" s="19"/>
      <c r="AE177" s="19"/>
      <c r="AF177" s="19"/>
      <c r="AG177" s="19"/>
      <c r="AH177" s="19"/>
      <c r="AI177" s="14"/>
      <c r="AJ177" s="139">
        <v>100</v>
      </c>
      <c r="AK177" s="135" t="s">
        <v>271</v>
      </c>
      <c r="AL177" s="136">
        <v>510000</v>
      </c>
      <c r="AM177" s="138">
        <v>80</v>
      </c>
    </row>
    <row r="178" spans="1:39" s="27" customFormat="1" ht="33">
      <c r="A178" s="34" t="s">
        <v>876</v>
      </c>
      <c r="B178" s="34"/>
      <c r="C178" s="72"/>
      <c r="D178" s="72"/>
      <c r="E178" s="120" t="s">
        <v>901</v>
      </c>
      <c r="F178" s="120"/>
      <c r="G178" s="132" t="s">
        <v>418</v>
      </c>
      <c r="H178" s="132" t="s">
        <v>520</v>
      </c>
      <c r="I178" s="132" t="s">
        <v>108</v>
      </c>
      <c r="J178" s="133" t="s">
        <v>419</v>
      </c>
      <c r="K178" s="134" t="s">
        <v>551</v>
      </c>
      <c r="L178" s="307">
        <f t="shared" si="32"/>
        <v>2323202.9300000002</v>
      </c>
      <c r="M178" s="308"/>
      <c r="N178" s="308">
        <v>2323202.9300000002</v>
      </c>
      <c r="O178" s="296"/>
      <c r="P178" s="296"/>
      <c r="Q178" s="296"/>
      <c r="R178" s="84"/>
      <c r="S178" s="70">
        <f t="shared" si="35"/>
        <v>0</v>
      </c>
      <c r="T178" s="70"/>
      <c r="U178" s="70">
        <v>2323202.9300000002</v>
      </c>
      <c r="V178" s="9" t="s">
        <v>521</v>
      </c>
      <c r="W178" s="19"/>
      <c r="X178" s="67">
        <v>2323202.9300000002</v>
      </c>
      <c r="Y178" s="67">
        <f t="shared" si="33"/>
        <v>0</v>
      </c>
      <c r="Z178" s="52"/>
      <c r="AA178" s="52"/>
      <c r="AB178" s="19"/>
      <c r="AC178" s="24">
        <f t="shared" si="34"/>
        <v>-1660351.9300000002</v>
      </c>
      <c r="AD178" s="19"/>
      <c r="AE178" s="19"/>
      <c r="AF178" s="19"/>
      <c r="AG178" s="19"/>
      <c r="AH178" s="19"/>
      <c r="AI178" s="14"/>
      <c r="AJ178" s="139">
        <v>100</v>
      </c>
      <c r="AK178" s="135" t="s">
        <v>271</v>
      </c>
      <c r="AL178" s="136">
        <v>3300000</v>
      </c>
      <c r="AM178" s="138">
        <v>10</v>
      </c>
    </row>
    <row r="179" spans="1:39" s="27" customFormat="1" ht="33">
      <c r="A179" s="34" t="s">
        <v>876</v>
      </c>
      <c r="B179" s="34"/>
      <c r="C179" s="72"/>
      <c r="D179" s="72"/>
      <c r="E179" s="120" t="s">
        <v>902</v>
      </c>
      <c r="F179" s="120"/>
      <c r="G179" s="132" t="s">
        <v>418</v>
      </c>
      <c r="H179" s="132" t="s">
        <v>520</v>
      </c>
      <c r="I179" s="132" t="s">
        <v>108</v>
      </c>
      <c r="J179" s="133" t="s">
        <v>419</v>
      </c>
      <c r="K179" s="134" t="s">
        <v>552</v>
      </c>
      <c r="L179" s="307">
        <f t="shared" si="32"/>
        <v>662851</v>
      </c>
      <c r="M179" s="308"/>
      <c r="N179" s="308">
        <v>662851</v>
      </c>
      <c r="O179" s="296"/>
      <c r="P179" s="296"/>
      <c r="Q179" s="296"/>
      <c r="R179" s="84"/>
      <c r="S179" s="70">
        <f t="shared" si="35"/>
        <v>0</v>
      </c>
      <c r="T179" s="70"/>
      <c r="U179" s="70">
        <v>662851</v>
      </c>
      <c r="V179" s="9" t="s">
        <v>521</v>
      </c>
      <c r="W179" s="19"/>
      <c r="X179" s="19">
        <v>300000</v>
      </c>
      <c r="Y179" s="67">
        <f t="shared" si="33"/>
        <v>362851</v>
      </c>
      <c r="Z179" s="52"/>
      <c r="AA179" s="52"/>
      <c r="AB179" s="19"/>
      <c r="AC179" s="24">
        <f t="shared" si="34"/>
        <v>-288811</v>
      </c>
      <c r="AD179" s="19"/>
      <c r="AE179" s="19"/>
      <c r="AF179" s="19"/>
      <c r="AG179" s="19"/>
      <c r="AH179" s="19"/>
      <c r="AI179" s="14"/>
      <c r="AJ179" s="139">
        <v>100</v>
      </c>
      <c r="AK179" s="135" t="s">
        <v>271</v>
      </c>
      <c r="AL179" s="136">
        <v>667711</v>
      </c>
      <c r="AM179" s="138">
        <v>90</v>
      </c>
    </row>
    <row r="180" spans="1:39" s="27" customFormat="1" ht="33">
      <c r="A180" s="34" t="s">
        <v>876</v>
      </c>
      <c r="B180" s="34"/>
      <c r="C180" s="72"/>
      <c r="D180" s="72"/>
      <c r="E180" s="120" t="s">
        <v>902</v>
      </c>
      <c r="F180" s="120"/>
      <c r="G180" s="132" t="s">
        <v>418</v>
      </c>
      <c r="H180" s="132" t="s">
        <v>520</v>
      </c>
      <c r="I180" s="132" t="s">
        <v>108</v>
      </c>
      <c r="J180" s="133" t="s">
        <v>419</v>
      </c>
      <c r="K180" s="134" t="s">
        <v>553</v>
      </c>
      <c r="L180" s="307">
        <f t="shared" si="32"/>
        <v>374040</v>
      </c>
      <c r="M180" s="308"/>
      <c r="N180" s="308">
        <v>374040</v>
      </c>
      <c r="O180" s="296"/>
      <c r="P180" s="296"/>
      <c r="Q180" s="296"/>
      <c r="R180" s="84"/>
      <c r="S180" s="70">
        <f t="shared" si="35"/>
        <v>0</v>
      </c>
      <c r="T180" s="70"/>
      <c r="U180" s="70">
        <v>374040</v>
      </c>
      <c r="V180" s="9" t="s">
        <v>521</v>
      </c>
      <c r="W180" s="19"/>
      <c r="X180" s="19">
        <v>374040</v>
      </c>
      <c r="Y180" s="67">
        <f t="shared" si="33"/>
        <v>0</v>
      </c>
      <c r="Z180" s="52"/>
      <c r="AA180" s="52"/>
      <c r="AB180" s="19"/>
      <c r="AC180" s="24">
        <f t="shared" si="34"/>
        <v>-74040</v>
      </c>
      <c r="AD180" s="19"/>
      <c r="AE180" s="19"/>
      <c r="AF180" s="19"/>
      <c r="AG180" s="19"/>
      <c r="AH180" s="19"/>
      <c r="AI180" s="14"/>
      <c r="AJ180" s="139">
        <v>100</v>
      </c>
      <c r="AK180" s="135" t="s">
        <v>271</v>
      </c>
      <c r="AL180" s="136">
        <v>868100</v>
      </c>
      <c r="AM180" s="138">
        <v>95</v>
      </c>
    </row>
    <row r="181" spans="1:39" s="27" customFormat="1" ht="49.5">
      <c r="A181" s="34" t="s">
        <v>876</v>
      </c>
      <c r="B181" s="34"/>
      <c r="C181" s="72"/>
      <c r="D181" s="72"/>
      <c r="E181" s="120" t="s">
        <v>906</v>
      </c>
      <c r="F181" s="120"/>
      <c r="G181" s="132" t="s">
        <v>418</v>
      </c>
      <c r="H181" s="132" t="s">
        <v>520</v>
      </c>
      <c r="I181" s="132" t="s">
        <v>108</v>
      </c>
      <c r="J181" s="133" t="s">
        <v>419</v>
      </c>
      <c r="K181" s="134" t="s">
        <v>816</v>
      </c>
      <c r="L181" s="307">
        <f t="shared" si="32"/>
        <v>300000</v>
      </c>
      <c r="M181" s="308"/>
      <c r="N181" s="308">
        <v>300000</v>
      </c>
      <c r="O181" s="296"/>
      <c r="P181" s="296"/>
      <c r="Q181" s="296"/>
      <c r="R181" s="84"/>
      <c r="S181" s="70">
        <f t="shared" si="35"/>
        <v>0</v>
      </c>
      <c r="T181" s="70"/>
      <c r="U181" s="70">
        <v>300000</v>
      </c>
      <c r="V181" s="9" t="s">
        <v>521</v>
      </c>
      <c r="W181" s="19"/>
      <c r="X181" s="19"/>
      <c r="Y181" s="67">
        <f t="shared" si="33"/>
        <v>300000</v>
      </c>
      <c r="Z181" s="52"/>
      <c r="AA181" s="52"/>
      <c r="AB181" s="19"/>
      <c r="AC181" s="24">
        <f t="shared" ref="AC181:AC212" si="36">X182+Y182+AB181-N181</f>
        <v>0</v>
      </c>
      <c r="AD181" s="19"/>
      <c r="AE181" s="19"/>
      <c r="AF181" s="19"/>
      <c r="AG181" s="19"/>
      <c r="AH181" s="19"/>
      <c r="AI181" s="14"/>
      <c r="AJ181" s="139"/>
      <c r="AK181" s="135">
        <v>2021</v>
      </c>
      <c r="AL181" s="136">
        <v>300000</v>
      </c>
      <c r="AM181" s="138"/>
    </row>
    <row r="182" spans="1:39" s="27" customFormat="1" ht="33">
      <c r="A182" s="34" t="s">
        <v>876</v>
      </c>
      <c r="B182" s="34"/>
      <c r="C182" s="72"/>
      <c r="D182" s="72"/>
      <c r="E182" s="120" t="s">
        <v>906</v>
      </c>
      <c r="F182" s="120"/>
      <c r="G182" s="132" t="s">
        <v>418</v>
      </c>
      <c r="H182" s="132" t="s">
        <v>520</v>
      </c>
      <c r="I182" s="132" t="s">
        <v>108</v>
      </c>
      <c r="J182" s="133" t="s">
        <v>419</v>
      </c>
      <c r="K182" s="134" t="s">
        <v>796</v>
      </c>
      <c r="L182" s="307">
        <f t="shared" si="32"/>
        <v>300000</v>
      </c>
      <c r="M182" s="308"/>
      <c r="N182" s="308">
        <v>300000</v>
      </c>
      <c r="O182" s="296"/>
      <c r="P182" s="296"/>
      <c r="Q182" s="296"/>
      <c r="R182" s="84"/>
      <c r="S182" s="70">
        <f t="shared" si="35"/>
        <v>0</v>
      </c>
      <c r="T182" s="70"/>
      <c r="U182" s="70">
        <v>300000</v>
      </c>
      <c r="V182" s="9" t="s">
        <v>521</v>
      </c>
      <c r="W182" s="19"/>
      <c r="X182" s="19"/>
      <c r="Y182" s="67">
        <f t="shared" si="33"/>
        <v>300000</v>
      </c>
      <c r="Z182" s="52"/>
      <c r="AA182" s="52"/>
      <c r="AB182" s="19"/>
      <c r="AC182" s="24">
        <f t="shared" si="36"/>
        <v>0</v>
      </c>
      <c r="AD182" s="19"/>
      <c r="AE182" s="19"/>
      <c r="AF182" s="19"/>
      <c r="AG182" s="19"/>
      <c r="AH182" s="19"/>
      <c r="AI182" s="14"/>
      <c r="AJ182" s="139"/>
      <c r="AK182" s="135">
        <v>2021</v>
      </c>
      <c r="AL182" s="136">
        <v>300000</v>
      </c>
      <c r="AM182" s="138"/>
    </row>
    <row r="183" spans="1:39" s="27" customFormat="1" ht="49.5">
      <c r="A183" s="34" t="s">
        <v>876</v>
      </c>
      <c r="B183" s="34"/>
      <c r="C183" s="72"/>
      <c r="D183" s="72"/>
      <c r="E183" s="120" t="s">
        <v>903</v>
      </c>
      <c r="F183" s="120"/>
      <c r="G183" s="132" t="s">
        <v>418</v>
      </c>
      <c r="H183" s="132" t="s">
        <v>520</v>
      </c>
      <c r="I183" s="132" t="s">
        <v>108</v>
      </c>
      <c r="J183" s="133" t="s">
        <v>419</v>
      </c>
      <c r="K183" s="134" t="s">
        <v>554</v>
      </c>
      <c r="L183" s="307">
        <f t="shared" si="32"/>
        <v>300000</v>
      </c>
      <c r="M183" s="308"/>
      <c r="N183" s="308">
        <v>300000</v>
      </c>
      <c r="O183" s="296"/>
      <c r="P183" s="296"/>
      <c r="Q183" s="296"/>
      <c r="R183" s="84"/>
      <c r="S183" s="70">
        <f t="shared" si="35"/>
        <v>0</v>
      </c>
      <c r="T183" s="70"/>
      <c r="U183" s="70">
        <v>300000</v>
      </c>
      <c r="V183" s="9" t="s">
        <v>521</v>
      </c>
      <c r="W183" s="19"/>
      <c r="X183" s="19"/>
      <c r="Y183" s="67">
        <f t="shared" si="33"/>
        <v>300000</v>
      </c>
      <c r="Z183" s="52"/>
      <c r="AA183" s="52"/>
      <c r="AB183" s="19"/>
      <c r="AC183" s="24">
        <f t="shared" si="36"/>
        <v>0</v>
      </c>
      <c r="AD183" s="19"/>
      <c r="AE183" s="19"/>
      <c r="AF183" s="19"/>
      <c r="AG183" s="19"/>
      <c r="AH183" s="19"/>
      <c r="AI183" s="14"/>
      <c r="AJ183" s="139"/>
      <c r="AK183" s="135">
        <v>2021</v>
      </c>
      <c r="AL183" s="136">
        <v>300000</v>
      </c>
      <c r="AM183" s="138"/>
    </row>
    <row r="184" spans="1:39" s="27" customFormat="1" ht="33">
      <c r="A184" s="34" t="s">
        <v>876</v>
      </c>
      <c r="B184" s="34"/>
      <c r="C184" s="72"/>
      <c r="D184" s="72"/>
      <c r="E184" s="120" t="s">
        <v>905</v>
      </c>
      <c r="F184" s="120"/>
      <c r="G184" s="132" t="s">
        <v>418</v>
      </c>
      <c r="H184" s="132" t="s">
        <v>520</v>
      </c>
      <c r="I184" s="132" t="s">
        <v>108</v>
      </c>
      <c r="J184" s="133" t="s">
        <v>419</v>
      </c>
      <c r="K184" s="134" t="s">
        <v>797</v>
      </c>
      <c r="L184" s="307">
        <f t="shared" si="32"/>
        <v>300000</v>
      </c>
      <c r="M184" s="308"/>
      <c r="N184" s="308">
        <v>300000</v>
      </c>
      <c r="O184" s="296"/>
      <c r="P184" s="296"/>
      <c r="Q184" s="296"/>
      <c r="R184" s="84"/>
      <c r="S184" s="70">
        <f t="shared" si="35"/>
        <v>0</v>
      </c>
      <c r="T184" s="70"/>
      <c r="U184" s="70">
        <v>300000</v>
      </c>
      <c r="V184" s="9" t="s">
        <v>521</v>
      </c>
      <c r="W184" s="19" t="s">
        <v>273</v>
      </c>
      <c r="X184" s="19"/>
      <c r="Y184" s="67">
        <f t="shared" si="33"/>
        <v>300000</v>
      </c>
      <c r="Z184" s="52"/>
      <c r="AA184" s="52"/>
      <c r="AB184" s="19"/>
      <c r="AC184" s="24">
        <f t="shared" si="36"/>
        <v>0</v>
      </c>
      <c r="AD184" s="19"/>
      <c r="AE184" s="19"/>
      <c r="AF184" s="19"/>
      <c r="AG184" s="19"/>
      <c r="AH184" s="19"/>
      <c r="AI184" s="14"/>
      <c r="AJ184" s="139"/>
      <c r="AK184" s="135">
        <v>2021</v>
      </c>
      <c r="AL184" s="136">
        <v>300000</v>
      </c>
      <c r="AM184" s="138"/>
    </row>
    <row r="185" spans="1:39" s="27" customFormat="1" ht="33">
      <c r="A185" s="34" t="s">
        <v>876</v>
      </c>
      <c r="B185" s="34"/>
      <c r="C185" s="72"/>
      <c r="D185" s="72"/>
      <c r="E185" s="120" t="s">
        <v>902</v>
      </c>
      <c r="F185" s="120"/>
      <c r="G185" s="132" t="s">
        <v>418</v>
      </c>
      <c r="H185" s="132" t="s">
        <v>520</v>
      </c>
      <c r="I185" s="132" t="s">
        <v>108</v>
      </c>
      <c r="J185" s="133" t="s">
        <v>419</v>
      </c>
      <c r="K185" s="134" t="s">
        <v>798</v>
      </c>
      <c r="L185" s="307">
        <f t="shared" si="32"/>
        <v>300000</v>
      </c>
      <c r="M185" s="308"/>
      <c r="N185" s="308">
        <v>300000</v>
      </c>
      <c r="O185" s="296"/>
      <c r="P185" s="296"/>
      <c r="Q185" s="296"/>
      <c r="R185" s="84"/>
      <c r="S185" s="70">
        <f t="shared" si="35"/>
        <v>0</v>
      </c>
      <c r="T185" s="70"/>
      <c r="U185" s="70">
        <v>300000</v>
      </c>
      <c r="V185" s="9" t="s">
        <v>521</v>
      </c>
      <c r="W185" s="19" t="s">
        <v>273</v>
      </c>
      <c r="X185" s="19"/>
      <c r="Y185" s="67">
        <f t="shared" si="33"/>
        <v>300000</v>
      </c>
      <c r="Z185" s="52"/>
      <c r="AA185" s="52"/>
      <c r="AB185" s="19"/>
      <c r="AC185" s="24">
        <f t="shared" si="36"/>
        <v>0</v>
      </c>
      <c r="AD185" s="19"/>
      <c r="AE185" s="19"/>
      <c r="AF185" s="19"/>
      <c r="AG185" s="19"/>
      <c r="AH185" s="19"/>
      <c r="AI185" s="14"/>
      <c r="AJ185" s="139"/>
      <c r="AK185" s="135">
        <v>2021</v>
      </c>
      <c r="AL185" s="136">
        <v>300000</v>
      </c>
      <c r="AM185" s="138"/>
    </row>
    <row r="186" spans="1:39" s="27" customFormat="1" ht="49.5">
      <c r="A186" s="34" t="s">
        <v>876</v>
      </c>
      <c r="B186" s="34"/>
      <c r="C186" s="72"/>
      <c r="D186" s="72"/>
      <c r="E186" s="120" t="s">
        <v>905</v>
      </c>
      <c r="F186" s="120"/>
      <c r="G186" s="132" t="s">
        <v>418</v>
      </c>
      <c r="H186" s="132" t="s">
        <v>520</v>
      </c>
      <c r="I186" s="132" t="s">
        <v>108</v>
      </c>
      <c r="J186" s="133" t="s">
        <v>419</v>
      </c>
      <c r="K186" s="134" t="s">
        <v>1128</v>
      </c>
      <c r="L186" s="307">
        <f t="shared" si="32"/>
        <v>300000</v>
      </c>
      <c r="M186" s="308"/>
      <c r="N186" s="308">
        <v>300000</v>
      </c>
      <c r="O186" s="296"/>
      <c r="P186" s="296"/>
      <c r="Q186" s="296"/>
      <c r="R186" s="84"/>
      <c r="S186" s="70">
        <f t="shared" si="35"/>
        <v>0</v>
      </c>
      <c r="T186" s="70"/>
      <c r="U186" s="70">
        <v>300000</v>
      </c>
      <c r="V186" s="9" t="s">
        <v>756</v>
      </c>
      <c r="W186" s="19" t="s">
        <v>273</v>
      </c>
      <c r="X186" s="19"/>
      <c r="Y186" s="67">
        <f t="shared" si="33"/>
        <v>300000</v>
      </c>
      <c r="Z186" s="52"/>
      <c r="AA186" s="52"/>
      <c r="AB186" s="19">
        <v>300000</v>
      </c>
      <c r="AC186" s="24">
        <f t="shared" si="36"/>
        <v>1000000</v>
      </c>
      <c r="AD186" s="19"/>
      <c r="AE186" s="19"/>
      <c r="AF186" s="19"/>
      <c r="AG186" s="19"/>
      <c r="AH186" s="19"/>
      <c r="AI186" s="14"/>
      <c r="AJ186" s="139"/>
      <c r="AK186" s="135">
        <v>2021</v>
      </c>
      <c r="AL186" s="136">
        <v>300000</v>
      </c>
      <c r="AM186" s="138"/>
    </row>
    <row r="187" spans="1:39" s="27" customFormat="1" ht="33">
      <c r="A187" s="34" t="s">
        <v>876</v>
      </c>
      <c r="B187" s="34"/>
      <c r="C187" s="72"/>
      <c r="D187" s="72"/>
      <c r="E187" s="120" t="s">
        <v>902</v>
      </c>
      <c r="F187" s="120"/>
      <c r="G187" s="132" t="s">
        <v>418</v>
      </c>
      <c r="H187" s="132" t="s">
        <v>520</v>
      </c>
      <c r="I187" s="132" t="s">
        <v>108</v>
      </c>
      <c r="J187" s="133" t="s">
        <v>419</v>
      </c>
      <c r="K187" s="134" t="s">
        <v>555</v>
      </c>
      <c r="L187" s="307">
        <f t="shared" si="32"/>
        <v>1000000</v>
      </c>
      <c r="M187" s="308"/>
      <c r="N187" s="308">
        <v>1000000</v>
      </c>
      <c r="O187" s="296"/>
      <c r="P187" s="296"/>
      <c r="Q187" s="296"/>
      <c r="R187" s="84"/>
      <c r="S187" s="70">
        <f t="shared" si="35"/>
        <v>0</v>
      </c>
      <c r="T187" s="70"/>
      <c r="U187" s="70">
        <v>1000000</v>
      </c>
      <c r="V187" s="9" t="s">
        <v>756</v>
      </c>
      <c r="W187" s="19" t="s">
        <v>273</v>
      </c>
      <c r="X187" s="19"/>
      <c r="Y187" s="67">
        <f t="shared" si="33"/>
        <v>1000000</v>
      </c>
      <c r="Z187" s="52"/>
      <c r="AA187" s="52"/>
      <c r="AB187" s="19">
        <v>300000</v>
      </c>
      <c r="AC187" s="24">
        <f t="shared" si="36"/>
        <v>-600000</v>
      </c>
      <c r="AD187" s="19"/>
      <c r="AE187" s="19"/>
      <c r="AF187" s="19"/>
      <c r="AG187" s="19"/>
      <c r="AH187" s="19"/>
      <c r="AI187" s="14"/>
      <c r="AJ187" s="139">
        <v>85</v>
      </c>
      <c r="AK187" s="135" t="s">
        <v>272</v>
      </c>
      <c r="AL187" s="136">
        <v>1300000</v>
      </c>
      <c r="AM187" s="138">
        <v>60</v>
      </c>
    </row>
    <row r="188" spans="1:39" s="27" customFormat="1" ht="66">
      <c r="A188" s="34" t="s">
        <v>876</v>
      </c>
      <c r="B188" s="34"/>
      <c r="C188" s="72"/>
      <c r="D188" s="72"/>
      <c r="E188" s="120" t="s">
        <v>902</v>
      </c>
      <c r="F188" s="120"/>
      <c r="G188" s="132" t="s">
        <v>418</v>
      </c>
      <c r="H188" s="132" t="s">
        <v>520</v>
      </c>
      <c r="I188" s="132" t="s">
        <v>108</v>
      </c>
      <c r="J188" s="133" t="s">
        <v>419</v>
      </c>
      <c r="K188" s="134" t="s">
        <v>1249</v>
      </c>
      <c r="L188" s="307">
        <f t="shared" si="32"/>
        <v>100000</v>
      </c>
      <c r="M188" s="308"/>
      <c r="N188" s="308">
        <v>100000</v>
      </c>
      <c r="O188" s="296"/>
      <c r="P188" s="296"/>
      <c r="Q188" s="296"/>
      <c r="R188" s="84"/>
      <c r="S188" s="70">
        <f t="shared" si="35"/>
        <v>0</v>
      </c>
      <c r="T188" s="70"/>
      <c r="U188" s="70">
        <v>100000</v>
      </c>
      <c r="V188" s="9" t="s">
        <v>756</v>
      </c>
      <c r="W188" s="19" t="s">
        <v>273</v>
      </c>
      <c r="X188" s="19"/>
      <c r="Y188" s="67">
        <f t="shared" si="33"/>
        <v>100000</v>
      </c>
      <c r="Z188" s="52"/>
      <c r="AA188" s="52"/>
      <c r="AB188" s="19">
        <v>300000</v>
      </c>
      <c r="AC188" s="24">
        <f t="shared" si="36"/>
        <v>4000000</v>
      </c>
      <c r="AD188" s="19"/>
      <c r="AE188" s="19"/>
      <c r="AF188" s="19"/>
      <c r="AG188" s="19"/>
      <c r="AH188" s="19"/>
      <c r="AI188" s="14"/>
      <c r="AJ188" s="139">
        <v>100</v>
      </c>
      <c r="AK188" s="135">
        <v>2021</v>
      </c>
      <c r="AL188" s="136">
        <v>100000</v>
      </c>
      <c r="AM188" s="138">
        <v>5</v>
      </c>
    </row>
    <row r="189" spans="1:39" s="27" customFormat="1" ht="33" customHeight="1">
      <c r="A189" s="34" t="s">
        <v>876</v>
      </c>
      <c r="B189" s="34"/>
      <c r="C189" s="119" t="s">
        <v>1186</v>
      </c>
      <c r="D189" s="119"/>
      <c r="E189" s="120" t="s">
        <v>1469</v>
      </c>
      <c r="F189" s="121"/>
      <c r="G189" s="132" t="s">
        <v>418</v>
      </c>
      <c r="H189" s="132" t="s">
        <v>520</v>
      </c>
      <c r="I189" s="132" t="s">
        <v>108</v>
      </c>
      <c r="J189" s="133" t="s">
        <v>419</v>
      </c>
      <c r="K189" s="134" t="s">
        <v>556</v>
      </c>
      <c r="L189" s="307">
        <f t="shared" si="32"/>
        <v>3800000</v>
      </c>
      <c r="M189" s="308"/>
      <c r="N189" s="308">
        <v>3800000</v>
      </c>
      <c r="O189" s="296"/>
      <c r="P189" s="296"/>
      <c r="Q189" s="296"/>
      <c r="R189" s="84"/>
      <c r="S189" s="70">
        <f t="shared" si="35"/>
        <v>0</v>
      </c>
      <c r="T189" s="70"/>
      <c r="U189" s="70">
        <v>3800000</v>
      </c>
      <c r="V189" s="9" t="s">
        <v>756</v>
      </c>
      <c r="W189" s="19" t="s">
        <v>273</v>
      </c>
      <c r="X189" s="19">
        <v>3000000</v>
      </c>
      <c r="Y189" s="67">
        <f t="shared" si="33"/>
        <v>800000</v>
      </c>
      <c r="Z189" s="52"/>
      <c r="AA189" s="52"/>
      <c r="AB189" s="19">
        <v>300000</v>
      </c>
      <c r="AC189" s="24">
        <f t="shared" si="36"/>
        <v>-807250.98</v>
      </c>
      <c r="AD189" s="19"/>
      <c r="AE189" s="19"/>
      <c r="AF189" s="19"/>
      <c r="AG189" s="19"/>
      <c r="AH189" s="19"/>
      <c r="AI189" s="14"/>
      <c r="AJ189" s="139">
        <v>100</v>
      </c>
      <c r="AK189" s="135" t="s">
        <v>271</v>
      </c>
      <c r="AL189" s="136">
        <v>3800000</v>
      </c>
      <c r="AM189" s="138">
        <v>5</v>
      </c>
    </row>
    <row r="190" spans="1:39" s="27" customFormat="1" ht="49.5" customHeight="1">
      <c r="A190" s="34" t="s">
        <v>876</v>
      </c>
      <c r="B190" s="34"/>
      <c r="C190" s="119" t="s">
        <v>1186</v>
      </c>
      <c r="D190" s="119"/>
      <c r="E190" s="121" t="s">
        <v>904</v>
      </c>
      <c r="F190" s="121"/>
      <c r="G190" s="132" t="s">
        <v>418</v>
      </c>
      <c r="H190" s="132" t="s">
        <v>520</v>
      </c>
      <c r="I190" s="132" t="s">
        <v>108</v>
      </c>
      <c r="J190" s="133" t="s">
        <v>419</v>
      </c>
      <c r="K190" s="134" t="s">
        <v>557</v>
      </c>
      <c r="L190" s="307">
        <f t="shared" si="32"/>
        <v>2692749.02</v>
      </c>
      <c r="M190" s="308"/>
      <c r="N190" s="308">
        <v>2692749.02</v>
      </c>
      <c r="O190" s="296"/>
      <c r="P190" s="296"/>
      <c r="Q190" s="296"/>
      <c r="R190" s="84"/>
      <c r="S190" s="70">
        <f t="shared" si="35"/>
        <v>0</v>
      </c>
      <c r="T190" s="70"/>
      <c r="U190" s="70">
        <v>2692749.02</v>
      </c>
      <c r="V190" s="9" t="s">
        <v>756</v>
      </c>
      <c r="W190" s="19" t="s">
        <v>273</v>
      </c>
      <c r="X190" s="19">
        <v>2692749.02</v>
      </c>
      <c r="Y190" s="67">
        <f t="shared" si="33"/>
        <v>0</v>
      </c>
      <c r="Z190" s="52"/>
      <c r="AA190" s="52"/>
      <c r="AB190" s="19">
        <v>300000</v>
      </c>
      <c r="AC190" s="24">
        <f t="shared" si="36"/>
        <v>-2192749.02</v>
      </c>
      <c r="AD190" s="19"/>
      <c r="AE190" s="19"/>
      <c r="AF190" s="19"/>
      <c r="AG190" s="19"/>
      <c r="AH190" s="19"/>
      <c r="AI190" s="14"/>
      <c r="AJ190" s="139">
        <v>100</v>
      </c>
      <c r="AK190" s="135" t="s">
        <v>271</v>
      </c>
      <c r="AL190" s="136">
        <v>5442761</v>
      </c>
      <c r="AM190" s="138">
        <v>90</v>
      </c>
    </row>
    <row r="191" spans="1:39" s="27" customFormat="1" ht="33" customHeight="1">
      <c r="A191" s="34" t="s">
        <v>876</v>
      </c>
      <c r="B191" s="34"/>
      <c r="C191" s="119" t="s">
        <v>1186</v>
      </c>
      <c r="D191" s="119"/>
      <c r="E191" s="121" t="s">
        <v>904</v>
      </c>
      <c r="F191" s="121"/>
      <c r="G191" s="132" t="s">
        <v>418</v>
      </c>
      <c r="H191" s="132" t="s">
        <v>520</v>
      </c>
      <c r="I191" s="132" t="s">
        <v>108</v>
      </c>
      <c r="J191" s="133" t="s">
        <v>419</v>
      </c>
      <c r="K191" s="134" t="s">
        <v>558</v>
      </c>
      <c r="L191" s="307">
        <f t="shared" si="32"/>
        <v>200000</v>
      </c>
      <c r="M191" s="308"/>
      <c r="N191" s="308">
        <v>200000</v>
      </c>
      <c r="O191" s="296"/>
      <c r="P191" s="296"/>
      <c r="Q191" s="296"/>
      <c r="R191" s="84"/>
      <c r="S191" s="70">
        <f t="shared" si="35"/>
        <v>0</v>
      </c>
      <c r="T191" s="70"/>
      <c r="U191" s="70">
        <v>200000</v>
      </c>
      <c r="V191" s="9" t="s">
        <v>756</v>
      </c>
      <c r="W191" s="19" t="s">
        <v>273</v>
      </c>
      <c r="X191" s="19">
        <v>200000</v>
      </c>
      <c r="Y191" s="67">
        <f t="shared" si="33"/>
        <v>0</v>
      </c>
      <c r="Z191" s="52"/>
      <c r="AA191" s="52"/>
      <c r="AB191" s="19">
        <v>300000</v>
      </c>
      <c r="AC191" s="24">
        <f t="shared" si="36"/>
        <v>1300000</v>
      </c>
      <c r="AD191" s="19"/>
      <c r="AE191" s="19"/>
      <c r="AF191" s="19"/>
      <c r="AG191" s="19"/>
      <c r="AH191" s="19"/>
      <c r="AI191" s="14"/>
      <c r="AJ191" s="139">
        <v>15</v>
      </c>
      <c r="AK191" s="135" t="s">
        <v>271</v>
      </c>
      <c r="AL191" s="136">
        <v>1305060</v>
      </c>
      <c r="AM191" s="138">
        <v>10</v>
      </c>
    </row>
    <row r="192" spans="1:39" s="27" customFormat="1" ht="33" customHeight="1">
      <c r="A192" s="34" t="s">
        <v>876</v>
      </c>
      <c r="B192" s="34"/>
      <c r="C192" s="119" t="s">
        <v>1186</v>
      </c>
      <c r="D192" s="119"/>
      <c r="E192" s="121" t="s">
        <v>901</v>
      </c>
      <c r="F192" s="121"/>
      <c r="G192" s="132" t="s">
        <v>418</v>
      </c>
      <c r="H192" s="132" t="s">
        <v>520</v>
      </c>
      <c r="I192" s="132" t="s">
        <v>108</v>
      </c>
      <c r="J192" s="133" t="s">
        <v>419</v>
      </c>
      <c r="K192" s="134" t="s">
        <v>801</v>
      </c>
      <c r="L192" s="307">
        <f t="shared" si="32"/>
        <v>1200000</v>
      </c>
      <c r="M192" s="308"/>
      <c r="N192" s="308">
        <v>1200000</v>
      </c>
      <c r="O192" s="296"/>
      <c r="P192" s="296"/>
      <c r="Q192" s="296"/>
      <c r="R192" s="84"/>
      <c r="S192" s="70">
        <f t="shared" si="35"/>
        <v>0</v>
      </c>
      <c r="T192" s="70"/>
      <c r="U192" s="70">
        <v>1200000</v>
      </c>
      <c r="V192" s="9" t="s">
        <v>756</v>
      </c>
      <c r="W192" s="19" t="s">
        <v>273</v>
      </c>
      <c r="X192" s="19">
        <v>200000</v>
      </c>
      <c r="Y192" s="67">
        <f t="shared" si="33"/>
        <v>1000000</v>
      </c>
      <c r="Z192" s="52"/>
      <c r="AA192" s="52"/>
      <c r="AB192" s="19">
        <v>50000</v>
      </c>
      <c r="AC192" s="24">
        <f t="shared" si="36"/>
        <v>-910000</v>
      </c>
      <c r="AD192" s="19"/>
      <c r="AE192" s="19"/>
      <c r="AF192" s="19"/>
      <c r="AG192" s="19"/>
      <c r="AH192" s="19"/>
      <c r="AI192" s="14"/>
      <c r="AJ192" s="139">
        <v>45</v>
      </c>
      <c r="AK192" s="135" t="s">
        <v>271</v>
      </c>
      <c r="AL192" s="136">
        <v>2771335</v>
      </c>
      <c r="AM192" s="138">
        <v>10</v>
      </c>
    </row>
    <row r="193" spans="1:39" s="27" customFormat="1" ht="49.5">
      <c r="A193" s="34" t="s">
        <v>876</v>
      </c>
      <c r="B193" s="34"/>
      <c r="C193" s="119" t="s">
        <v>1186</v>
      </c>
      <c r="D193" s="119"/>
      <c r="E193" s="121" t="s">
        <v>906</v>
      </c>
      <c r="F193" s="121"/>
      <c r="G193" s="132" t="s">
        <v>418</v>
      </c>
      <c r="H193" s="132" t="s">
        <v>520</v>
      </c>
      <c r="I193" s="132" t="s">
        <v>108</v>
      </c>
      <c r="J193" s="133" t="s">
        <v>419</v>
      </c>
      <c r="K193" s="134" t="s">
        <v>559</v>
      </c>
      <c r="L193" s="307">
        <f t="shared" si="32"/>
        <v>240000</v>
      </c>
      <c r="M193" s="308"/>
      <c r="N193" s="308">
        <v>240000</v>
      </c>
      <c r="O193" s="296"/>
      <c r="P193" s="296"/>
      <c r="Q193" s="296"/>
      <c r="R193" s="84"/>
      <c r="S193" s="70">
        <f t="shared" si="35"/>
        <v>0</v>
      </c>
      <c r="T193" s="70"/>
      <c r="U193" s="70">
        <v>240000</v>
      </c>
      <c r="V193" s="9" t="s">
        <v>758</v>
      </c>
      <c r="W193" s="19"/>
      <c r="X193" s="19">
        <v>240000</v>
      </c>
      <c r="Y193" s="67">
        <f t="shared" si="33"/>
        <v>0</v>
      </c>
      <c r="Z193" s="52"/>
      <c r="AA193" s="52"/>
      <c r="AB193" s="19">
        <v>300000</v>
      </c>
      <c r="AC193" s="24">
        <f t="shared" si="36"/>
        <v>220000</v>
      </c>
      <c r="AD193" s="19"/>
      <c r="AE193" s="19"/>
      <c r="AF193" s="19"/>
      <c r="AG193" s="19"/>
      <c r="AH193" s="19"/>
      <c r="AI193" s="14"/>
      <c r="AJ193" s="139">
        <v>10</v>
      </c>
      <c r="AK193" s="135" t="s">
        <v>367</v>
      </c>
      <c r="AL193" s="136">
        <v>7767071</v>
      </c>
      <c r="AM193" s="138">
        <v>5</v>
      </c>
    </row>
    <row r="194" spans="1:39" s="27" customFormat="1" ht="49.5">
      <c r="A194" s="34" t="s">
        <v>876</v>
      </c>
      <c r="B194" s="34"/>
      <c r="C194" s="119" t="s">
        <v>1186</v>
      </c>
      <c r="D194" s="119"/>
      <c r="E194" s="121" t="s">
        <v>903</v>
      </c>
      <c r="F194" s="121"/>
      <c r="G194" s="132" t="s">
        <v>418</v>
      </c>
      <c r="H194" s="132" t="s">
        <v>520</v>
      </c>
      <c r="I194" s="132" t="s">
        <v>108</v>
      </c>
      <c r="J194" s="133" t="s">
        <v>419</v>
      </c>
      <c r="K194" s="134" t="s">
        <v>1310</v>
      </c>
      <c r="L194" s="307">
        <f t="shared" si="32"/>
        <v>160000</v>
      </c>
      <c r="M194" s="308"/>
      <c r="N194" s="308">
        <v>160000</v>
      </c>
      <c r="O194" s="296"/>
      <c r="P194" s="296"/>
      <c r="Q194" s="296"/>
      <c r="R194" s="84"/>
      <c r="S194" s="70">
        <f t="shared" si="35"/>
        <v>0</v>
      </c>
      <c r="T194" s="70"/>
      <c r="U194" s="70">
        <v>160000</v>
      </c>
      <c r="V194" s="9" t="s">
        <v>756</v>
      </c>
      <c r="W194" s="19" t="s">
        <v>273</v>
      </c>
      <c r="X194" s="19">
        <v>160000</v>
      </c>
      <c r="Y194" s="67">
        <f t="shared" si="33"/>
        <v>0</v>
      </c>
      <c r="Z194" s="52"/>
      <c r="AA194" s="52"/>
      <c r="AB194" s="19">
        <v>100000</v>
      </c>
      <c r="AC194" s="24">
        <f t="shared" si="36"/>
        <v>120000</v>
      </c>
      <c r="AD194" s="19"/>
      <c r="AE194" s="19"/>
      <c r="AF194" s="19"/>
      <c r="AG194" s="19"/>
      <c r="AH194" s="19"/>
      <c r="AI194" s="14"/>
      <c r="AJ194" s="139">
        <v>10</v>
      </c>
      <c r="AK194" s="135" t="s">
        <v>331</v>
      </c>
      <c r="AL194" s="136">
        <v>4300000</v>
      </c>
      <c r="AM194" s="138">
        <v>5</v>
      </c>
    </row>
    <row r="195" spans="1:39" s="27" customFormat="1" ht="49.5">
      <c r="A195" s="34" t="s">
        <v>876</v>
      </c>
      <c r="B195" s="34"/>
      <c r="C195" s="119" t="s">
        <v>1186</v>
      </c>
      <c r="D195" s="119"/>
      <c r="E195" s="121" t="s">
        <v>903</v>
      </c>
      <c r="F195" s="121"/>
      <c r="G195" s="132" t="s">
        <v>418</v>
      </c>
      <c r="H195" s="132" t="s">
        <v>520</v>
      </c>
      <c r="I195" s="132" t="s">
        <v>108</v>
      </c>
      <c r="J195" s="133" t="s">
        <v>419</v>
      </c>
      <c r="K195" s="134" t="s">
        <v>560</v>
      </c>
      <c r="L195" s="307">
        <f t="shared" ref="L195:L258" si="37">SUM(M195:Q195)</f>
        <v>180000</v>
      </c>
      <c r="M195" s="308"/>
      <c r="N195" s="308">
        <v>180000</v>
      </c>
      <c r="O195" s="296"/>
      <c r="P195" s="296"/>
      <c r="Q195" s="296"/>
      <c r="R195" s="84"/>
      <c r="S195" s="70">
        <f t="shared" si="35"/>
        <v>0</v>
      </c>
      <c r="T195" s="70"/>
      <c r="U195" s="70">
        <v>180000</v>
      </c>
      <c r="V195" s="9" t="s">
        <v>521</v>
      </c>
      <c r="W195" s="19"/>
      <c r="X195" s="19">
        <v>180000</v>
      </c>
      <c r="Y195" s="67">
        <f t="shared" si="33"/>
        <v>0</v>
      </c>
      <c r="Z195" s="52"/>
      <c r="AA195" s="52"/>
      <c r="AB195" s="19"/>
      <c r="AC195" s="24">
        <f t="shared" si="36"/>
        <v>95000</v>
      </c>
      <c r="AD195" s="19"/>
      <c r="AE195" s="19"/>
      <c r="AF195" s="19"/>
      <c r="AG195" s="19"/>
      <c r="AH195" s="19"/>
      <c r="AI195" s="14"/>
      <c r="AJ195" s="139">
        <v>10</v>
      </c>
      <c r="AK195" s="135" t="s">
        <v>331</v>
      </c>
      <c r="AL195" s="136">
        <v>4753946</v>
      </c>
      <c r="AM195" s="138">
        <v>5</v>
      </c>
    </row>
    <row r="196" spans="1:39" s="27" customFormat="1" ht="49.5">
      <c r="A196" s="34" t="s">
        <v>876</v>
      </c>
      <c r="B196" s="34"/>
      <c r="C196" s="119" t="s">
        <v>1186</v>
      </c>
      <c r="D196" s="119"/>
      <c r="E196" s="121" t="s">
        <v>903</v>
      </c>
      <c r="F196" s="121"/>
      <c r="G196" s="132" t="s">
        <v>418</v>
      </c>
      <c r="H196" s="132" t="s">
        <v>520</v>
      </c>
      <c r="I196" s="132" t="s">
        <v>108</v>
      </c>
      <c r="J196" s="133" t="s">
        <v>419</v>
      </c>
      <c r="K196" s="134" t="s">
        <v>561</v>
      </c>
      <c r="L196" s="307">
        <f t="shared" si="37"/>
        <v>275000</v>
      </c>
      <c r="M196" s="308"/>
      <c r="N196" s="308">
        <v>275000</v>
      </c>
      <c r="O196" s="296"/>
      <c r="P196" s="296"/>
      <c r="Q196" s="296"/>
      <c r="R196" s="84"/>
      <c r="S196" s="70">
        <f t="shared" si="35"/>
        <v>0</v>
      </c>
      <c r="T196" s="70"/>
      <c r="U196" s="70">
        <v>275000</v>
      </c>
      <c r="V196" s="9" t="s">
        <v>521</v>
      </c>
      <c r="W196" s="19"/>
      <c r="X196" s="19">
        <v>275000</v>
      </c>
      <c r="Y196" s="67">
        <f t="shared" si="33"/>
        <v>0</v>
      </c>
      <c r="Z196" s="52"/>
      <c r="AA196" s="52"/>
      <c r="AB196" s="19"/>
      <c r="AC196" s="24">
        <f t="shared" si="36"/>
        <v>225000</v>
      </c>
      <c r="AD196" s="19"/>
      <c r="AE196" s="19"/>
      <c r="AF196" s="19"/>
      <c r="AG196" s="19"/>
      <c r="AH196" s="19"/>
      <c r="AI196" s="14"/>
      <c r="AJ196" s="139">
        <v>5</v>
      </c>
      <c r="AK196" s="135" t="s">
        <v>367</v>
      </c>
      <c r="AL196" s="136">
        <v>8000000</v>
      </c>
      <c r="AM196" s="138">
        <v>5</v>
      </c>
    </row>
    <row r="197" spans="1:39" s="27" customFormat="1" ht="33">
      <c r="A197" s="34" t="s">
        <v>876</v>
      </c>
      <c r="B197" s="34"/>
      <c r="C197" s="119" t="s">
        <v>1186</v>
      </c>
      <c r="D197" s="119"/>
      <c r="E197" s="121" t="s">
        <v>902</v>
      </c>
      <c r="F197" s="121"/>
      <c r="G197" s="132" t="s">
        <v>418</v>
      </c>
      <c r="H197" s="132" t="s">
        <v>520</v>
      </c>
      <c r="I197" s="132" t="s">
        <v>108</v>
      </c>
      <c r="J197" s="133" t="s">
        <v>419</v>
      </c>
      <c r="K197" s="134" t="s">
        <v>1268</v>
      </c>
      <c r="L197" s="307">
        <f t="shared" si="37"/>
        <v>500000</v>
      </c>
      <c r="M197" s="308"/>
      <c r="N197" s="308">
        <v>500000</v>
      </c>
      <c r="O197" s="296"/>
      <c r="P197" s="296"/>
      <c r="Q197" s="296"/>
      <c r="R197" s="84"/>
      <c r="S197" s="70">
        <f t="shared" si="35"/>
        <v>0</v>
      </c>
      <c r="T197" s="70"/>
      <c r="U197" s="70">
        <v>500000</v>
      </c>
      <c r="V197" s="9" t="s">
        <v>521</v>
      </c>
      <c r="W197" s="19"/>
      <c r="X197" s="19"/>
      <c r="Y197" s="67">
        <f t="shared" si="33"/>
        <v>500000</v>
      </c>
      <c r="Z197" s="52"/>
      <c r="AA197" s="52"/>
      <c r="AB197" s="19"/>
      <c r="AC197" s="24">
        <f t="shared" si="36"/>
        <v>4533069.1500000004</v>
      </c>
      <c r="AD197" s="19"/>
      <c r="AE197" s="19"/>
      <c r="AF197" s="19"/>
      <c r="AG197" s="19"/>
      <c r="AH197" s="19"/>
      <c r="AI197" s="14"/>
      <c r="AJ197" s="139">
        <v>20</v>
      </c>
      <c r="AK197" s="135" t="s">
        <v>331</v>
      </c>
      <c r="AL197" s="136">
        <v>4079672</v>
      </c>
      <c r="AM197" s="138">
        <v>5</v>
      </c>
    </row>
    <row r="198" spans="1:39" s="27" customFormat="1" ht="33">
      <c r="A198" s="34" t="s">
        <v>876</v>
      </c>
      <c r="B198" s="34"/>
      <c r="C198" s="119" t="s">
        <v>1186</v>
      </c>
      <c r="D198" s="119"/>
      <c r="E198" s="121" t="s">
        <v>902</v>
      </c>
      <c r="F198" s="121"/>
      <c r="G198" s="132" t="s">
        <v>418</v>
      </c>
      <c r="H198" s="132" t="s">
        <v>520</v>
      </c>
      <c r="I198" s="132" t="s">
        <v>108</v>
      </c>
      <c r="J198" s="133" t="s">
        <v>419</v>
      </c>
      <c r="K198" s="134" t="s">
        <v>800</v>
      </c>
      <c r="L198" s="307">
        <f t="shared" si="37"/>
        <v>5033069.1500000004</v>
      </c>
      <c r="M198" s="308"/>
      <c r="N198" s="308">
        <v>5033069.1500000004</v>
      </c>
      <c r="O198" s="296"/>
      <c r="P198" s="296"/>
      <c r="Q198" s="296"/>
      <c r="R198" s="84"/>
      <c r="S198" s="70">
        <f t="shared" si="35"/>
        <v>0</v>
      </c>
      <c r="T198" s="70"/>
      <c r="U198" s="70">
        <v>5033069.1500000004</v>
      </c>
      <c r="V198" s="9" t="s">
        <v>521</v>
      </c>
      <c r="W198" s="19"/>
      <c r="X198" s="19">
        <v>4512822.1500000004</v>
      </c>
      <c r="Y198" s="67">
        <f t="shared" si="33"/>
        <v>520247</v>
      </c>
      <c r="Z198" s="52"/>
      <c r="AA198" s="52"/>
      <c r="AB198" s="19"/>
      <c r="AC198" s="24">
        <f t="shared" si="36"/>
        <v>-4930069.1500000004</v>
      </c>
      <c r="AD198" s="19"/>
      <c r="AE198" s="19"/>
      <c r="AF198" s="19"/>
      <c r="AG198" s="19"/>
      <c r="AH198" s="19"/>
      <c r="AI198" s="14"/>
      <c r="AJ198" s="139">
        <v>100</v>
      </c>
      <c r="AK198" s="135" t="s">
        <v>271</v>
      </c>
      <c r="AL198" s="136">
        <v>8320247</v>
      </c>
      <c r="AM198" s="138">
        <v>90</v>
      </c>
    </row>
    <row r="199" spans="1:39" s="27" customFormat="1" ht="49.5">
      <c r="A199" s="34" t="s">
        <v>876</v>
      </c>
      <c r="B199" s="34"/>
      <c r="C199" s="119" t="s">
        <v>1186</v>
      </c>
      <c r="D199" s="119"/>
      <c r="E199" s="121" t="s">
        <v>902</v>
      </c>
      <c r="F199" s="121"/>
      <c r="G199" s="132" t="s">
        <v>418</v>
      </c>
      <c r="H199" s="132" t="s">
        <v>520</v>
      </c>
      <c r="I199" s="132" t="s">
        <v>108</v>
      </c>
      <c r="J199" s="133" t="s">
        <v>419</v>
      </c>
      <c r="K199" s="134" t="s">
        <v>802</v>
      </c>
      <c r="L199" s="307">
        <f t="shared" si="37"/>
        <v>103000</v>
      </c>
      <c r="M199" s="308"/>
      <c r="N199" s="308">
        <v>103000</v>
      </c>
      <c r="O199" s="296"/>
      <c r="P199" s="296"/>
      <c r="Q199" s="296"/>
      <c r="R199" s="84"/>
      <c r="S199" s="70">
        <f t="shared" si="35"/>
        <v>0</v>
      </c>
      <c r="T199" s="70"/>
      <c r="U199" s="70">
        <v>103000</v>
      </c>
      <c r="V199" s="9" t="s">
        <v>521</v>
      </c>
      <c r="W199" s="19"/>
      <c r="X199" s="19">
        <v>103000</v>
      </c>
      <c r="Y199" s="67">
        <f t="shared" si="33"/>
        <v>0</v>
      </c>
      <c r="Z199" s="52"/>
      <c r="AA199" s="52"/>
      <c r="AB199" s="19"/>
      <c r="AC199" s="24">
        <f t="shared" si="36"/>
        <v>2431173.66</v>
      </c>
      <c r="AD199" s="19"/>
      <c r="AE199" s="19"/>
      <c r="AF199" s="19"/>
      <c r="AG199" s="19"/>
      <c r="AH199" s="19"/>
      <c r="AI199" s="14"/>
      <c r="AJ199" s="139">
        <v>5</v>
      </c>
      <c r="AK199" s="135" t="s">
        <v>272</v>
      </c>
      <c r="AL199" s="136">
        <v>2433300</v>
      </c>
      <c r="AM199" s="138">
        <v>5</v>
      </c>
    </row>
    <row r="200" spans="1:39" s="27" customFormat="1" ht="49.5">
      <c r="A200" s="34" t="s">
        <v>876</v>
      </c>
      <c r="B200" s="34"/>
      <c r="C200" s="119" t="s">
        <v>1187</v>
      </c>
      <c r="D200" s="119"/>
      <c r="E200" s="121" t="s">
        <v>904</v>
      </c>
      <c r="F200" s="121"/>
      <c r="G200" s="132" t="s">
        <v>418</v>
      </c>
      <c r="H200" s="132" t="s">
        <v>520</v>
      </c>
      <c r="I200" s="132" t="s">
        <v>108</v>
      </c>
      <c r="J200" s="133" t="s">
        <v>419</v>
      </c>
      <c r="K200" s="134" t="s">
        <v>759</v>
      </c>
      <c r="L200" s="307">
        <f t="shared" si="37"/>
        <v>2534173.66</v>
      </c>
      <c r="M200" s="308"/>
      <c r="N200" s="308">
        <v>2534173.66</v>
      </c>
      <c r="O200" s="296"/>
      <c r="P200" s="296"/>
      <c r="Q200" s="296"/>
      <c r="R200" s="84"/>
      <c r="S200" s="70">
        <f t="shared" si="35"/>
        <v>0</v>
      </c>
      <c r="T200" s="70"/>
      <c r="U200" s="70">
        <v>2534173.66</v>
      </c>
      <c r="V200" s="9" t="s">
        <v>521</v>
      </c>
      <c r="W200" s="19"/>
      <c r="X200" s="19">
        <v>2534173.66</v>
      </c>
      <c r="Y200" s="67">
        <f t="shared" si="33"/>
        <v>0</v>
      </c>
      <c r="Z200" s="52"/>
      <c r="AA200" s="52"/>
      <c r="AB200" s="19"/>
      <c r="AC200" s="24">
        <f t="shared" si="36"/>
        <v>-2334173.66</v>
      </c>
      <c r="AD200" s="19"/>
      <c r="AE200" s="19"/>
      <c r="AF200" s="19"/>
      <c r="AG200" s="19"/>
      <c r="AH200" s="19"/>
      <c r="AI200" s="14"/>
      <c r="AJ200" s="139">
        <v>100</v>
      </c>
      <c r="AK200" s="135" t="s">
        <v>271</v>
      </c>
      <c r="AL200" s="136">
        <v>3617398</v>
      </c>
      <c r="AM200" s="138">
        <v>95</v>
      </c>
    </row>
    <row r="201" spans="1:39" s="27" customFormat="1" ht="33">
      <c r="A201" s="34" t="s">
        <v>876</v>
      </c>
      <c r="B201" s="34"/>
      <c r="C201" s="119" t="s">
        <v>1187</v>
      </c>
      <c r="D201" s="119"/>
      <c r="E201" s="121" t="s">
        <v>904</v>
      </c>
      <c r="F201" s="121"/>
      <c r="G201" s="132" t="s">
        <v>418</v>
      </c>
      <c r="H201" s="132" t="s">
        <v>520</v>
      </c>
      <c r="I201" s="132" t="s">
        <v>108</v>
      </c>
      <c r="J201" s="133" t="s">
        <v>419</v>
      </c>
      <c r="K201" s="134" t="s">
        <v>562</v>
      </c>
      <c r="L201" s="307">
        <f t="shared" si="37"/>
        <v>200000</v>
      </c>
      <c r="M201" s="308"/>
      <c r="N201" s="308">
        <v>200000</v>
      </c>
      <c r="O201" s="296"/>
      <c r="P201" s="296"/>
      <c r="Q201" s="296"/>
      <c r="R201" s="84"/>
      <c r="S201" s="70">
        <f t="shared" si="35"/>
        <v>0</v>
      </c>
      <c r="T201" s="70"/>
      <c r="U201" s="70">
        <v>200000</v>
      </c>
      <c r="V201" s="9" t="s">
        <v>521</v>
      </c>
      <c r="W201" s="19"/>
      <c r="X201" s="19">
        <v>200000</v>
      </c>
      <c r="Y201" s="67">
        <f t="shared" si="33"/>
        <v>0</v>
      </c>
      <c r="Z201" s="52"/>
      <c r="AA201" s="52"/>
      <c r="AB201" s="19"/>
      <c r="AC201" s="24">
        <f t="shared" si="36"/>
        <v>800000</v>
      </c>
      <c r="AD201" s="19"/>
      <c r="AE201" s="19"/>
      <c r="AF201" s="19"/>
      <c r="AG201" s="19"/>
      <c r="AH201" s="19"/>
      <c r="AI201" s="14"/>
      <c r="AJ201" s="139">
        <v>5</v>
      </c>
      <c r="AK201" s="135" t="s">
        <v>271</v>
      </c>
      <c r="AL201" s="136">
        <v>2000000</v>
      </c>
      <c r="AM201" s="138">
        <v>5</v>
      </c>
    </row>
    <row r="202" spans="1:39" s="27" customFormat="1" ht="66">
      <c r="A202" s="34" t="s">
        <v>876</v>
      </c>
      <c r="B202" s="34"/>
      <c r="C202" s="119" t="s">
        <v>1187</v>
      </c>
      <c r="D202" s="119"/>
      <c r="E202" s="121" t="s">
        <v>901</v>
      </c>
      <c r="F202" s="121"/>
      <c r="G202" s="132" t="s">
        <v>418</v>
      </c>
      <c r="H202" s="132" t="s">
        <v>520</v>
      </c>
      <c r="I202" s="132" t="s">
        <v>108</v>
      </c>
      <c r="J202" s="133" t="s">
        <v>419</v>
      </c>
      <c r="K202" s="134" t="s">
        <v>1250</v>
      </c>
      <c r="L202" s="307">
        <f t="shared" si="37"/>
        <v>1000000</v>
      </c>
      <c r="M202" s="308"/>
      <c r="N202" s="308">
        <v>1000000</v>
      </c>
      <c r="O202" s="296"/>
      <c r="P202" s="296"/>
      <c r="Q202" s="296"/>
      <c r="R202" s="84"/>
      <c r="S202" s="70">
        <f t="shared" si="35"/>
        <v>0</v>
      </c>
      <c r="T202" s="70"/>
      <c r="U202" s="70">
        <v>1000000</v>
      </c>
      <c r="V202" s="9" t="s">
        <v>521</v>
      </c>
      <c r="W202" s="19"/>
      <c r="X202" s="19">
        <v>25000</v>
      </c>
      <c r="Y202" s="67">
        <f t="shared" si="33"/>
        <v>975000</v>
      </c>
      <c r="Z202" s="52"/>
      <c r="AA202" s="52"/>
      <c r="AB202" s="19"/>
      <c r="AC202" s="24">
        <f t="shared" si="36"/>
        <v>500000</v>
      </c>
      <c r="AD202" s="19"/>
      <c r="AE202" s="19"/>
      <c r="AF202" s="19"/>
      <c r="AG202" s="19"/>
      <c r="AH202" s="19"/>
      <c r="AI202" s="14"/>
      <c r="AJ202" s="139">
        <v>30</v>
      </c>
      <c r="AK202" s="135" t="s">
        <v>271</v>
      </c>
      <c r="AL202" s="136">
        <v>4260733</v>
      </c>
      <c r="AM202" s="138">
        <v>5</v>
      </c>
    </row>
    <row r="203" spans="1:39" s="27" customFormat="1" ht="49.5">
      <c r="A203" s="34" t="s">
        <v>876</v>
      </c>
      <c r="B203" s="34"/>
      <c r="C203" s="119" t="s">
        <v>1187</v>
      </c>
      <c r="D203" s="119"/>
      <c r="E203" s="121" t="s">
        <v>904</v>
      </c>
      <c r="F203" s="121"/>
      <c r="G203" s="132" t="s">
        <v>418</v>
      </c>
      <c r="H203" s="132" t="s">
        <v>520</v>
      </c>
      <c r="I203" s="132" t="s">
        <v>108</v>
      </c>
      <c r="J203" s="133" t="s">
        <v>419</v>
      </c>
      <c r="K203" s="134" t="s">
        <v>760</v>
      </c>
      <c r="L203" s="307">
        <f t="shared" si="37"/>
        <v>1500000</v>
      </c>
      <c r="M203" s="308"/>
      <c r="N203" s="308">
        <v>1500000</v>
      </c>
      <c r="O203" s="296"/>
      <c r="P203" s="296"/>
      <c r="Q203" s="296"/>
      <c r="R203" s="84"/>
      <c r="S203" s="70">
        <f t="shared" si="35"/>
        <v>0</v>
      </c>
      <c r="T203" s="70"/>
      <c r="U203" s="70">
        <v>1500000</v>
      </c>
      <c r="V203" s="9" t="s">
        <v>521</v>
      </c>
      <c r="W203" s="19"/>
      <c r="X203" s="19"/>
      <c r="Y203" s="67">
        <f t="shared" si="33"/>
        <v>1500000</v>
      </c>
      <c r="Z203" s="52"/>
      <c r="AA203" s="52"/>
      <c r="AB203" s="19"/>
      <c r="AC203" s="24">
        <f t="shared" si="36"/>
        <v>-1350000</v>
      </c>
      <c r="AD203" s="19"/>
      <c r="AE203" s="19"/>
      <c r="AF203" s="19"/>
      <c r="AG203" s="19"/>
      <c r="AH203" s="19"/>
      <c r="AI203" s="14"/>
      <c r="AJ203" s="139">
        <v>25</v>
      </c>
      <c r="AK203" s="135" t="s">
        <v>347</v>
      </c>
      <c r="AL203" s="136">
        <v>17370770.52</v>
      </c>
      <c r="AM203" s="138">
        <v>20</v>
      </c>
    </row>
    <row r="204" spans="1:39" s="27" customFormat="1" ht="33">
      <c r="A204" s="34" t="s">
        <v>876</v>
      </c>
      <c r="B204" s="34"/>
      <c r="C204" s="119" t="s">
        <v>1187</v>
      </c>
      <c r="D204" s="119"/>
      <c r="E204" s="121" t="s">
        <v>905</v>
      </c>
      <c r="F204" s="121"/>
      <c r="G204" s="132" t="s">
        <v>418</v>
      </c>
      <c r="H204" s="132" t="s">
        <v>520</v>
      </c>
      <c r="I204" s="132" t="s">
        <v>108</v>
      </c>
      <c r="J204" s="133" t="s">
        <v>419</v>
      </c>
      <c r="K204" s="134" t="s">
        <v>563</v>
      </c>
      <c r="L204" s="307">
        <f t="shared" si="37"/>
        <v>150000</v>
      </c>
      <c r="M204" s="308"/>
      <c r="N204" s="308">
        <v>150000</v>
      </c>
      <c r="O204" s="296"/>
      <c r="P204" s="296"/>
      <c r="Q204" s="296"/>
      <c r="R204" s="84"/>
      <c r="S204" s="70">
        <f t="shared" si="35"/>
        <v>0</v>
      </c>
      <c r="T204" s="70"/>
      <c r="U204" s="70">
        <v>150000</v>
      </c>
      <c r="V204" s="9" t="s">
        <v>521</v>
      </c>
      <c r="W204" s="19"/>
      <c r="X204" s="19"/>
      <c r="Y204" s="67">
        <f t="shared" si="33"/>
        <v>150000</v>
      </c>
      <c r="Z204" s="52"/>
      <c r="AA204" s="52"/>
      <c r="AB204" s="19"/>
      <c r="AC204" s="24">
        <f t="shared" si="36"/>
        <v>150000</v>
      </c>
      <c r="AD204" s="19"/>
      <c r="AE204" s="19"/>
      <c r="AF204" s="19"/>
      <c r="AG204" s="19"/>
      <c r="AH204" s="19"/>
      <c r="AI204" s="14"/>
      <c r="AJ204" s="139"/>
      <c r="AK204" s="135">
        <v>2021</v>
      </c>
      <c r="AL204" s="136">
        <v>300000</v>
      </c>
      <c r="AM204" s="138"/>
    </row>
    <row r="205" spans="1:39" s="27" customFormat="1" ht="49.5">
      <c r="A205" s="34" t="s">
        <v>876</v>
      </c>
      <c r="B205" s="34"/>
      <c r="C205" s="119" t="s">
        <v>1187</v>
      </c>
      <c r="D205" s="119"/>
      <c r="E205" s="121" t="s">
        <v>904</v>
      </c>
      <c r="F205" s="121"/>
      <c r="G205" s="132" t="s">
        <v>418</v>
      </c>
      <c r="H205" s="132" t="s">
        <v>520</v>
      </c>
      <c r="I205" s="132" t="s">
        <v>108</v>
      </c>
      <c r="J205" s="133" t="s">
        <v>419</v>
      </c>
      <c r="K205" s="134" t="s">
        <v>803</v>
      </c>
      <c r="L205" s="307">
        <f t="shared" si="37"/>
        <v>300000</v>
      </c>
      <c r="M205" s="308"/>
      <c r="N205" s="308">
        <v>300000</v>
      </c>
      <c r="O205" s="296"/>
      <c r="P205" s="296"/>
      <c r="Q205" s="296"/>
      <c r="R205" s="84"/>
      <c r="S205" s="70">
        <f t="shared" si="35"/>
        <v>0</v>
      </c>
      <c r="T205" s="70"/>
      <c r="U205" s="70">
        <v>300000</v>
      </c>
      <c r="V205" s="9" t="s">
        <v>521</v>
      </c>
      <c r="W205" s="19"/>
      <c r="X205" s="19"/>
      <c r="Y205" s="67">
        <f t="shared" si="33"/>
        <v>300000</v>
      </c>
      <c r="Z205" s="52"/>
      <c r="AA205" s="52"/>
      <c r="AB205" s="19"/>
      <c r="AC205" s="24">
        <f t="shared" si="36"/>
        <v>-200000</v>
      </c>
      <c r="AD205" s="19"/>
      <c r="AE205" s="19"/>
      <c r="AF205" s="19"/>
      <c r="AG205" s="19"/>
      <c r="AH205" s="19"/>
      <c r="AI205" s="14"/>
      <c r="AJ205" s="139"/>
      <c r="AK205" s="135">
        <v>2021</v>
      </c>
      <c r="AL205" s="136">
        <v>300000</v>
      </c>
      <c r="AM205" s="138"/>
    </row>
    <row r="206" spans="1:39" s="27" customFormat="1" ht="33">
      <c r="A206" s="34" t="s">
        <v>876</v>
      </c>
      <c r="B206" s="34"/>
      <c r="C206" s="119" t="s">
        <v>1187</v>
      </c>
      <c r="D206" s="119"/>
      <c r="E206" s="121" t="s">
        <v>905</v>
      </c>
      <c r="F206" s="121"/>
      <c r="G206" s="132" t="s">
        <v>418</v>
      </c>
      <c r="H206" s="132" t="s">
        <v>520</v>
      </c>
      <c r="I206" s="132" t="s">
        <v>108</v>
      </c>
      <c r="J206" s="133" t="s">
        <v>419</v>
      </c>
      <c r="K206" s="134" t="s">
        <v>804</v>
      </c>
      <c r="L206" s="307">
        <f t="shared" si="37"/>
        <v>100000</v>
      </c>
      <c r="M206" s="308"/>
      <c r="N206" s="308">
        <v>100000</v>
      </c>
      <c r="O206" s="296"/>
      <c r="P206" s="296"/>
      <c r="Q206" s="296"/>
      <c r="R206" s="84"/>
      <c r="S206" s="70">
        <f t="shared" si="35"/>
        <v>0</v>
      </c>
      <c r="T206" s="70"/>
      <c r="U206" s="70">
        <v>100000</v>
      </c>
      <c r="V206" s="9" t="s">
        <v>521</v>
      </c>
      <c r="W206" s="19"/>
      <c r="X206" s="19"/>
      <c r="Y206" s="67">
        <f t="shared" si="33"/>
        <v>100000</v>
      </c>
      <c r="Z206" s="52"/>
      <c r="AA206" s="52"/>
      <c r="AB206" s="19"/>
      <c r="AC206" s="24">
        <f t="shared" si="36"/>
        <v>900000</v>
      </c>
      <c r="AD206" s="19"/>
      <c r="AE206" s="19"/>
      <c r="AF206" s="19"/>
      <c r="AG206" s="19"/>
      <c r="AH206" s="19"/>
      <c r="AI206" s="14"/>
      <c r="AJ206" s="139">
        <v>5</v>
      </c>
      <c r="AK206" s="135" t="s">
        <v>331</v>
      </c>
      <c r="AL206" s="136">
        <v>1000000</v>
      </c>
      <c r="AM206" s="138">
        <v>5</v>
      </c>
    </row>
    <row r="207" spans="1:39" s="27" customFormat="1" ht="82.5">
      <c r="A207" s="34" t="s">
        <v>876</v>
      </c>
      <c r="B207" s="34"/>
      <c r="C207" s="119" t="s">
        <v>1187</v>
      </c>
      <c r="D207" s="119"/>
      <c r="E207" s="121" t="s">
        <v>902</v>
      </c>
      <c r="F207" s="121"/>
      <c r="G207" s="132" t="s">
        <v>418</v>
      </c>
      <c r="H207" s="132" t="s">
        <v>520</v>
      </c>
      <c r="I207" s="132" t="s">
        <v>108</v>
      </c>
      <c r="J207" s="133" t="s">
        <v>419</v>
      </c>
      <c r="K207" s="134" t="s">
        <v>1129</v>
      </c>
      <c r="L207" s="307">
        <f t="shared" si="37"/>
        <v>1000000</v>
      </c>
      <c r="M207" s="308"/>
      <c r="N207" s="308">
        <v>1000000</v>
      </c>
      <c r="O207" s="296"/>
      <c r="P207" s="296"/>
      <c r="Q207" s="296"/>
      <c r="R207" s="84"/>
      <c r="S207" s="70">
        <f t="shared" si="35"/>
        <v>0</v>
      </c>
      <c r="T207" s="70"/>
      <c r="U207" s="70">
        <v>1000000</v>
      </c>
      <c r="V207" s="9" t="s">
        <v>521</v>
      </c>
      <c r="W207" s="19"/>
      <c r="X207" s="19">
        <v>100000</v>
      </c>
      <c r="Y207" s="67">
        <f t="shared" si="33"/>
        <v>900000</v>
      </c>
      <c r="Z207" s="52"/>
      <c r="AA207" s="52"/>
      <c r="AB207" s="19"/>
      <c r="AC207" s="24">
        <f t="shared" si="36"/>
        <v>-158644.40000000002</v>
      </c>
      <c r="AD207" s="19"/>
      <c r="AE207" s="19"/>
      <c r="AF207" s="19"/>
      <c r="AG207" s="19"/>
      <c r="AH207" s="19"/>
      <c r="AI207" s="14"/>
      <c r="AJ207" s="139">
        <v>25</v>
      </c>
      <c r="AK207" s="135" t="s">
        <v>331</v>
      </c>
      <c r="AL207" s="136">
        <v>4698700</v>
      </c>
      <c r="AM207" s="138">
        <v>10</v>
      </c>
    </row>
    <row r="208" spans="1:39" s="27" customFormat="1" ht="49.5">
      <c r="A208" s="34" t="s">
        <v>876</v>
      </c>
      <c r="B208" s="34"/>
      <c r="C208" s="119" t="s">
        <v>1188</v>
      </c>
      <c r="D208" s="119"/>
      <c r="E208" s="121" t="s">
        <v>903</v>
      </c>
      <c r="F208" s="121"/>
      <c r="G208" s="132" t="s">
        <v>418</v>
      </c>
      <c r="H208" s="132" t="s">
        <v>520</v>
      </c>
      <c r="I208" s="132" t="s">
        <v>108</v>
      </c>
      <c r="J208" s="133" t="s">
        <v>419</v>
      </c>
      <c r="K208" s="134" t="s">
        <v>567</v>
      </c>
      <c r="L208" s="307">
        <f t="shared" si="37"/>
        <v>841355.6</v>
      </c>
      <c r="M208" s="308"/>
      <c r="N208" s="308">
        <v>841355.6</v>
      </c>
      <c r="O208" s="296"/>
      <c r="P208" s="296"/>
      <c r="Q208" s="296"/>
      <c r="R208" s="84"/>
      <c r="S208" s="70">
        <f t="shared" si="35"/>
        <v>0</v>
      </c>
      <c r="T208" s="70"/>
      <c r="U208" s="70">
        <v>841355.6</v>
      </c>
      <c r="V208" s="9" t="s">
        <v>521</v>
      </c>
      <c r="W208" s="19"/>
      <c r="X208" s="19">
        <v>641355.6</v>
      </c>
      <c r="Y208" s="67">
        <f t="shared" si="33"/>
        <v>200000</v>
      </c>
      <c r="Z208" s="52"/>
      <c r="AA208" s="52"/>
      <c r="AB208" s="19"/>
      <c r="AC208" s="24">
        <f t="shared" si="36"/>
        <v>501703.66000000003</v>
      </c>
      <c r="AD208" s="19"/>
      <c r="AE208" s="19"/>
      <c r="AF208" s="19"/>
      <c r="AG208" s="19"/>
      <c r="AH208" s="19"/>
      <c r="AI208" s="14"/>
      <c r="AJ208" s="139">
        <v>95</v>
      </c>
      <c r="AK208" s="135" t="s">
        <v>352</v>
      </c>
      <c r="AL208" s="136">
        <v>1500000</v>
      </c>
      <c r="AM208" s="138">
        <v>80</v>
      </c>
    </row>
    <row r="209" spans="1:39" s="27" customFormat="1" ht="33">
      <c r="A209" s="34" t="s">
        <v>876</v>
      </c>
      <c r="B209" s="34"/>
      <c r="C209" s="119" t="s">
        <v>1188</v>
      </c>
      <c r="D209" s="119"/>
      <c r="E209" s="121" t="s">
        <v>902</v>
      </c>
      <c r="F209" s="121"/>
      <c r="G209" s="132" t="s">
        <v>418</v>
      </c>
      <c r="H209" s="132" t="s">
        <v>520</v>
      </c>
      <c r="I209" s="132" t="s">
        <v>108</v>
      </c>
      <c r="J209" s="133" t="s">
        <v>419</v>
      </c>
      <c r="K209" s="134" t="s">
        <v>568</v>
      </c>
      <c r="L209" s="307">
        <f t="shared" si="37"/>
        <v>1343059.26</v>
      </c>
      <c r="M209" s="308"/>
      <c r="N209" s="308">
        <v>1343059.26</v>
      </c>
      <c r="O209" s="296"/>
      <c r="P209" s="296"/>
      <c r="Q209" s="296"/>
      <c r="R209" s="84"/>
      <c r="S209" s="70">
        <f t="shared" si="35"/>
        <v>0</v>
      </c>
      <c r="T209" s="70"/>
      <c r="U209" s="70">
        <v>1343059.26</v>
      </c>
      <c r="V209" s="9" t="s">
        <v>521</v>
      </c>
      <c r="W209" s="19"/>
      <c r="X209" s="19">
        <v>1000000</v>
      </c>
      <c r="Y209" s="67">
        <f t="shared" si="33"/>
        <v>343059.26</v>
      </c>
      <c r="Z209" s="52"/>
      <c r="AA209" s="52"/>
      <c r="AB209" s="19"/>
      <c r="AC209" s="24">
        <f t="shared" si="36"/>
        <v>-1020059.26</v>
      </c>
      <c r="AD209" s="19"/>
      <c r="AE209" s="19"/>
      <c r="AF209" s="19"/>
      <c r="AG209" s="19"/>
      <c r="AH209" s="19"/>
      <c r="AI209" s="14"/>
      <c r="AJ209" s="139">
        <v>100</v>
      </c>
      <c r="AK209" s="135" t="s">
        <v>271</v>
      </c>
      <c r="AL209" s="136">
        <v>1718976</v>
      </c>
      <c r="AM209" s="138">
        <v>80</v>
      </c>
    </row>
    <row r="210" spans="1:39" s="27" customFormat="1" ht="33">
      <c r="A210" s="34" t="s">
        <v>876</v>
      </c>
      <c r="B210" s="34"/>
      <c r="C210" s="119" t="s">
        <v>1188</v>
      </c>
      <c r="D210" s="119"/>
      <c r="E210" s="121" t="s">
        <v>903</v>
      </c>
      <c r="F210" s="121"/>
      <c r="G210" s="132" t="s">
        <v>418</v>
      </c>
      <c r="H210" s="132" t="s">
        <v>520</v>
      </c>
      <c r="I210" s="132" t="s">
        <v>108</v>
      </c>
      <c r="J210" s="133" t="s">
        <v>419</v>
      </c>
      <c r="K210" s="134" t="s">
        <v>569</v>
      </c>
      <c r="L210" s="307">
        <f t="shared" si="37"/>
        <v>323000</v>
      </c>
      <c r="M210" s="308"/>
      <c r="N210" s="308">
        <v>323000</v>
      </c>
      <c r="O210" s="296"/>
      <c r="P210" s="296"/>
      <c r="Q210" s="296"/>
      <c r="R210" s="84"/>
      <c r="S210" s="70">
        <f t="shared" si="35"/>
        <v>0</v>
      </c>
      <c r="T210" s="70"/>
      <c r="U210" s="70">
        <v>323000</v>
      </c>
      <c r="V210" s="9" t="s">
        <v>521</v>
      </c>
      <c r="W210" s="19"/>
      <c r="X210" s="19">
        <v>323000</v>
      </c>
      <c r="Y210" s="67">
        <f t="shared" si="33"/>
        <v>0</v>
      </c>
      <c r="Z210" s="52"/>
      <c r="AA210" s="52"/>
      <c r="AB210" s="19"/>
      <c r="AC210" s="24">
        <f t="shared" si="36"/>
        <v>77000</v>
      </c>
      <c r="AD210" s="19"/>
      <c r="AE210" s="19"/>
      <c r="AF210" s="19"/>
      <c r="AG210" s="19"/>
      <c r="AH210" s="19"/>
      <c r="AI210" s="14"/>
      <c r="AJ210" s="139">
        <v>100</v>
      </c>
      <c r="AK210" s="135" t="s">
        <v>271</v>
      </c>
      <c r="AL210" s="136">
        <v>350000</v>
      </c>
      <c r="AM210" s="138">
        <v>30</v>
      </c>
    </row>
    <row r="211" spans="1:39" s="27" customFormat="1" ht="49.5">
      <c r="A211" s="34" t="s">
        <v>876</v>
      </c>
      <c r="B211" s="34"/>
      <c r="C211" s="119" t="s">
        <v>1189</v>
      </c>
      <c r="D211" s="119"/>
      <c r="E211" s="121" t="s">
        <v>901</v>
      </c>
      <c r="F211" s="121"/>
      <c r="G211" s="132" t="s">
        <v>418</v>
      </c>
      <c r="H211" s="132" t="s">
        <v>520</v>
      </c>
      <c r="I211" s="132" t="s">
        <v>108</v>
      </c>
      <c r="J211" s="133" t="s">
        <v>419</v>
      </c>
      <c r="K211" s="134" t="s">
        <v>570</v>
      </c>
      <c r="L211" s="307">
        <f t="shared" si="37"/>
        <v>400000</v>
      </c>
      <c r="M211" s="308"/>
      <c r="N211" s="308">
        <v>400000</v>
      </c>
      <c r="O211" s="296"/>
      <c r="P211" s="296"/>
      <c r="Q211" s="296"/>
      <c r="R211" s="84"/>
      <c r="S211" s="70">
        <f t="shared" si="35"/>
        <v>0</v>
      </c>
      <c r="T211" s="70"/>
      <c r="U211" s="70">
        <v>400000</v>
      </c>
      <c r="V211" s="9" t="s">
        <v>521</v>
      </c>
      <c r="W211" s="19"/>
      <c r="X211" s="19"/>
      <c r="Y211" s="67">
        <f t="shared" ref="Y211:Y274" si="38">N211-X211</f>
        <v>400000</v>
      </c>
      <c r="Z211" s="52"/>
      <c r="AA211" s="52"/>
      <c r="AB211" s="19"/>
      <c r="AC211" s="24">
        <f t="shared" si="36"/>
        <v>100000</v>
      </c>
      <c r="AD211" s="19"/>
      <c r="AE211" s="19"/>
      <c r="AF211" s="19"/>
      <c r="AG211" s="19"/>
      <c r="AH211" s="19"/>
      <c r="AI211" s="14"/>
      <c r="AJ211" s="139">
        <v>100</v>
      </c>
      <c r="AK211" s="135" t="s">
        <v>271</v>
      </c>
      <c r="AL211" s="136">
        <v>450000</v>
      </c>
      <c r="AM211" s="138">
        <v>5</v>
      </c>
    </row>
    <row r="212" spans="1:39" s="27" customFormat="1" ht="33">
      <c r="A212" s="34" t="s">
        <v>876</v>
      </c>
      <c r="B212" s="34"/>
      <c r="C212" s="119" t="s">
        <v>1189</v>
      </c>
      <c r="D212" s="119"/>
      <c r="E212" s="121" t="s">
        <v>901</v>
      </c>
      <c r="F212" s="121"/>
      <c r="G212" s="132" t="s">
        <v>418</v>
      </c>
      <c r="H212" s="132" t="s">
        <v>520</v>
      </c>
      <c r="I212" s="132" t="s">
        <v>108</v>
      </c>
      <c r="J212" s="133" t="s">
        <v>419</v>
      </c>
      <c r="K212" s="134" t="s">
        <v>1251</v>
      </c>
      <c r="L212" s="307">
        <f t="shared" si="37"/>
        <v>500000</v>
      </c>
      <c r="M212" s="308"/>
      <c r="N212" s="308">
        <v>500000</v>
      </c>
      <c r="O212" s="296"/>
      <c r="P212" s="296"/>
      <c r="Q212" s="296"/>
      <c r="R212" s="84"/>
      <c r="S212" s="70">
        <f t="shared" si="35"/>
        <v>0</v>
      </c>
      <c r="T212" s="70"/>
      <c r="U212" s="70">
        <v>500000</v>
      </c>
      <c r="V212" s="9" t="s">
        <v>521</v>
      </c>
      <c r="W212" s="19" t="s">
        <v>273</v>
      </c>
      <c r="X212" s="19">
        <v>500000</v>
      </c>
      <c r="Y212" s="67">
        <f t="shared" si="38"/>
        <v>0</v>
      </c>
      <c r="Z212" s="52"/>
      <c r="AA212" s="52"/>
      <c r="AB212" s="19"/>
      <c r="AC212" s="24">
        <f t="shared" si="36"/>
        <v>-400000</v>
      </c>
      <c r="AD212" s="19"/>
      <c r="AE212" s="19"/>
      <c r="AF212" s="19"/>
      <c r="AG212" s="19"/>
      <c r="AH212" s="19"/>
      <c r="AI212" s="14"/>
      <c r="AJ212" s="139">
        <v>65</v>
      </c>
      <c r="AK212" s="135" t="s">
        <v>271</v>
      </c>
      <c r="AL212" s="136">
        <v>2250768</v>
      </c>
      <c r="AM212" s="138">
        <v>45</v>
      </c>
    </row>
    <row r="213" spans="1:39" s="27" customFormat="1" ht="66">
      <c r="A213" s="34" t="s">
        <v>876</v>
      </c>
      <c r="B213" s="34"/>
      <c r="C213" s="119" t="s">
        <v>1189</v>
      </c>
      <c r="D213" s="119"/>
      <c r="E213" s="121" t="s">
        <v>901</v>
      </c>
      <c r="F213" s="121"/>
      <c r="G213" s="132" t="s">
        <v>418</v>
      </c>
      <c r="H213" s="132" t="s">
        <v>520</v>
      </c>
      <c r="I213" s="132" t="s">
        <v>108</v>
      </c>
      <c r="J213" s="133" t="s">
        <v>419</v>
      </c>
      <c r="K213" s="134" t="s">
        <v>571</v>
      </c>
      <c r="L213" s="307">
        <f t="shared" si="37"/>
        <v>100000</v>
      </c>
      <c r="M213" s="308"/>
      <c r="N213" s="308">
        <v>100000</v>
      </c>
      <c r="O213" s="296"/>
      <c r="P213" s="296"/>
      <c r="Q213" s="296"/>
      <c r="R213" s="84"/>
      <c r="S213" s="70">
        <f t="shared" si="35"/>
        <v>0</v>
      </c>
      <c r="T213" s="70"/>
      <c r="U213" s="70">
        <v>100000</v>
      </c>
      <c r="V213" s="9" t="s">
        <v>521</v>
      </c>
      <c r="W213" s="19"/>
      <c r="X213" s="19">
        <v>100000</v>
      </c>
      <c r="Y213" s="67">
        <f t="shared" si="38"/>
        <v>0</v>
      </c>
      <c r="Z213" s="52"/>
      <c r="AA213" s="52"/>
      <c r="AB213" s="19"/>
      <c r="AC213" s="24">
        <f t="shared" ref="AC213:AC244" si="39">X214+Y214+AB213-N213</f>
        <v>2214096.21</v>
      </c>
      <c r="AD213" s="19"/>
      <c r="AE213" s="19"/>
      <c r="AF213" s="19"/>
      <c r="AG213" s="19"/>
      <c r="AH213" s="19"/>
      <c r="AI213" s="14"/>
      <c r="AJ213" s="139">
        <v>20</v>
      </c>
      <c r="AK213" s="135" t="s">
        <v>271</v>
      </c>
      <c r="AL213" s="136">
        <v>500000</v>
      </c>
      <c r="AM213" s="138">
        <v>5</v>
      </c>
    </row>
    <row r="214" spans="1:39" s="27" customFormat="1" ht="33">
      <c r="A214" s="34" t="s">
        <v>876</v>
      </c>
      <c r="B214" s="34"/>
      <c r="C214" s="119" t="s">
        <v>1190</v>
      </c>
      <c r="D214" s="119"/>
      <c r="E214" s="121" t="s">
        <v>903</v>
      </c>
      <c r="F214" s="121"/>
      <c r="G214" s="132" t="s">
        <v>418</v>
      </c>
      <c r="H214" s="132" t="s">
        <v>520</v>
      </c>
      <c r="I214" s="132" t="s">
        <v>108</v>
      </c>
      <c r="J214" s="133" t="s">
        <v>419</v>
      </c>
      <c r="K214" s="134" t="s">
        <v>572</v>
      </c>
      <c r="L214" s="307">
        <f t="shared" si="37"/>
        <v>2314096.21</v>
      </c>
      <c r="M214" s="308"/>
      <c r="N214" s="308">
        <v>2314096.21</v>
      </c>
      <c r="O214" s="296"/>
      <c r="P214" s="296"/>
      <c r="Q214" s="296"/>
      <c r="R214" s="84"/>
      <c r="S214" s="70">
        <f t="shared" si="35"/>
        <v>0</v>
      </c>
      <c r="T214" s="70"/>
      <c r="U214" s="70">
        <v>2314096.21</v>
      </c>
      <c r="V214" s="9" t="s">
        <v>521</v>
      </c>
      <c r="W214" s="19"/>
      <c r="X214" s="19">
        <v>696548.35</v>
      </c>
      <c r="Y214" s="67">
        <f t="shared" si="38"/>
        <v>1617547.8599999999</v>
      </c>
      <c r="Z214" s="52"/>
      <c r="AA214" s="52"/>
      <c r="AB214" s="19"/>
      <c r="AC214" s="24">
        <f t="shared" si="39"/>
        <v>-822709.21</v>
      </c>
      <c r="AD214" s="19"/>
      <c r="AE214" s="19"/>
      <c r="AF214" s="19"/>
      <c r="AG214" s="19"/>
      <c r="AH214" s="19"/>
      <c r="AI214" s="14"/>
      <c r="AJ214" s="139">
        <v>55.000000000000007</v>
      </c>
      <c r="AK214" s="135" t="s">
        <v>413</v>
      </c>
      <c r="AL214" s="136">
        <v>20810821</v>
      </c>
      <c r="AM214" s="138">
        <v>40</v>
      </c>
    </row>
    <row r="215" spans="1:39" s="27" customFormat="1" ht="33">
      <c r="A215" s="34" t="s">
        <v>876</v>
      </c>
      <c r="B215" s="34"/>
      <c r="C215" s="119" t="s">
        <v>1190</v>
      </c>
      <c r="D215" s="119"/>
      <c r="E215" s="121" t="s">
        <v>904</v>
      </c>
      <c r="F215" s="121"/>
      <c r="G215" s="132" t="s">
        <v>418</v>
      </c>
      <c r="H215" s="132" t="s">
        <v>520</v>
      </c>
      <c r="I215" s="132" t="s">
        <v>108</v>
      </c>
      <c r="J215" s="133" t="s">
        <v>419</v>
      </c>
      <c r="K215" s="134" t="s">
        <v>573</v>
      </c>
      <c r="L215" s="307">
        <f t="shared" si="37"/>
        <v>1491387</v>
      </c>
      <c r="M215" s="308"/>
      <c r="N215" s="308">
        <v>1491387</v>
      </c>
      <c r="O215" s="296"/>
      <c r="P215" s="296"/>
      <c r="Q215" s="296"/>
      <c r="R215" s="84"/>
      <c r="S215" s="70">
        <f t="shared" si="35"/>
        <v>0</v>
      </c>
      <c r="T215" s="70"/>
      <c r="U215" s="70">
        <v>1491387</v>
      </c>
      <c r="V215" s="9" t="s">
        <v>756</v>
      </c>
      <c r="W215" s="19" t="s">
        <v>273</v>
      </c>
      <c r="X215" s="19">
        <v>800000</v>
      </c>
      <c r="Y215" s="67">
        <f t="shared" si="38"/>
        <v>691387</v>
      </c>
      <c r="Z215" s="52"/>
      <c r="AA215" s="52"/>
      <c r="AB215" s="19">
        <f>N215</f>
        <v>1491387</v>
      </c>
      <c r="AC215" s="24">
        <f t="shared" si="39"/>
        <v>1286818.04</v>
      </c>
      <c r="AD215" s="19"/>
      <c r="AE215" s="19"/>
      <c r="AF215" s="19"/>
      <c r="AG215" s="19"/>
      <c r="AH215" s="19"/>
      <c r="AI215" s="14"/>
      <c r="AJ215" s="139">
        <v>100</v>
      </c>
      <c r="AK215" s="135" t="s">
        <v>347</v>
      </c>
      <c r="AL215" s="136">
        <v>8703739</v>
      </c>
      <c r="AM215" s="138">
        <v>85</v>
      </c>
    </row>
    <row r="216" spans="1:39" s="27" customFormat="1" ht="33">
      <c r="A216" s="34" t="s">
        <v>876</v>
      </c>
      <c r="B216" s="34"/>
      <c r="C216" s="119" t="s">
        <v>1190</v>
      </c>
      <c r="D216" s="119"/>
      <c r="E216" s="121" t="s">
        <v>904</v>
      </c>
      <c r="F216" s="121"/>
      <c r="G216" s="132" t="s">
        <v>418</v>
      </c>
      <c r="H216" s="132" t="s">
        <v>520</v>
      </c>
      <c r="I216" s="132" t="s">
        <v>108</v>
      </c>
      <c r="J216" s="133" t="s">
        <v>419</v>
      </c>
      <c r="K216" s="134" t="s">
        <v>574</v>
      </c>
      <c r="L216" s="307">
        <f t="shared" si="37"/>
        <v>1286818.04</v>
      </c>
      <c r="M216" s="308"/>
      <c r="N216" s="308">
        <v>1286818.04</v>
      </c>
      <c r="O216" s="296"/>
      <c r="P216" s="296"/>
      <c r="Q216" s="296"/>
      <c r="R216" s="84"/>
      <c r="S216" s="70">
        <f t="shared" si="35"/>
        <v>0</v>
      </c>
      <c r="T216" s="70"/>
      <c r="U216" s="70">
        <v>1286818.04</v>
      </c>
      <c r="V216" s="9" t="s">
        <v>756</v>
      </c>
      <c r="W216" s="19" t="s">
        <v>273</v>
      </c>
      <c r="X216" s="19">
        <v>135679.41</v>
      </c>
      <c r="Y216" s="67">
        <f t="shared" si="38"/>
        <v>1151138.6300000001</v>
      </c>
      <c r="Z216" s="52"/>
      <c r="AA216" s="52"/>
      <c r="AB216" s="19">
        <f>N216</f>
        <v>1286818.04</v>
      </c>
      <c r="AC216" s="24">
        <f t="shared" si="39"/>
        <v>4000000</v>
      </c>
      <c r="AD216" s="19"/>
      <c r="AE216" s="19"/>
      <c r="AF216" s="19"/>
      <c r="AG216" s="19"/>
      <c r="AH216" s="19"/>
      <c r="AI216" s="14"/>
      <c r="AJ216" s="139">
        <v>100</v>
      </c>
      <c r="AK216" s="135" t="s">
        <v>272</v>
      </c>
      <c r="AL216" s="136">
        <v>1757862</v>
      </c>
      <c r="AM216" s="138">
        <v>30</v>
      </c>
    </row>
    <row r="217" spans="1:39" s="27" customFormat="1" ht="33">
      <c r="A217" s="34" t="s">
        <v>876</v>
      </c>
      <c r="B217" s="34"/>
      <c r="C217" s="119" t="s">
        <v>1190</v>
      </c>
      <c r="D217" s="119"/>
      <c r="E217" s="121" t="s">
        <v>904</v>
      </c>
      <c r="F217" s="121"/>
      <c r="G217" s="132" t="s">
        <v>418</v>
      </c>
      <c r="H217" s="132" t="s">
        <v>520</v>
      </c>
      <c r="I217" s="132" t="s">
        <v>108</v>
      </c>
      <c r="J217" s="133" t="s">
        <v>419</v>
      </c>
      <c r="K217" s="134" t="s">
        <v>1109</v>
      </c>
      <c r="L217" s="307">
        <f t="shared" si="37"/>
        <v>4000000</v>
      </c>
      <c r="M217" s="308"/>
      <c r="N217" s="308">
        <v>4000000</v>
      </c>
      <c r="O217" s="296"/>
      <c r="P217" s="296"/>
      <c r="Q217" s="296"/>
      <c r="R217" s="84"/>
      <c r="S217" s="70">
        <f t="shared" si="35"/>
        <v>0</v>
      </c>
      <c r="T217" s="70"/>
      <c r="U217" s="70">
        <v>4000000</v>
      </c>
      <c r="V217" s="9" t="s">
        <v>521</v>
      </c>
      <c r="W217" s="19"/>
      <c r="X217" s="19">
        <v>1000000</v>
      </c>
      <c r="Y217" s="67">
        <f t="shared" si="38"/>
        <v>3000000</v>
      </c>
      <c r="Z217" s="52"/>
      <c r="AA217" s="52"/>
      <c r="AB217" s="19"/>
      <c r="AC217" s="24">
        <f t="shared" si="39"/>
        <v>-3500000</v>
      </c>
      <c r="AD217" s="19"/>
      <c r="AE217" s="19"/>
      <c r="AF217" s="19"/>
      <c r="AG217" s="19"/>
      <c r="AH217" s="19"/>
      <c r="AI217" s="14"/>
      <c r="AJ217" s="139">
        <v>70</v>
      </c>
      <c r="AK217" s="135" t="s">
        <v>413</v>
      </c>
      <c r="AL217" s="136">
        <v>11923645</v>
      </c>
      <c r="AM217" s="138">
        <v>45</v>
      </c>
    </row>
    <row r="218" spans="1:39" s="27" customFormat="1" ht="82.5">
      <c r="A218" s="34" t="s">
        <v>876</v>
      </c>
      <c r="B218" s="34"/>
      <c r="C218" s="119" t="s">
        <v>1190</v>
      </c>
      <c r="D218" s="119"/>
      <c r="E218" s="121" t="s">
        <v>901</v>
      </c>
      <c r="F218" s="121"/>
      <c r="G218" s="132" t="s">
        <v>418</v>
      </c>
      <c r="H218" s="132" t="s">
        <v>520</v>
      </c>
      <c r="I218" s="132" t="s">
        <v>108</v>
      </c>
      <c r="J218" s="133" t="s">
        <v>419</v>
      </c>
      <c r="K218" s="134" t="s">
        <v>575</v>
      </c>
      <c r="L218" s="307">
        <f t="shared" si="37"/>
        <v>500000</v>
      </c>
      <c r="M218" s="308"/>
      <c r="N218" s="308">
        <v>500000</v>
      </c>
      <c r="O218" s="296"/>
      <c r="P218" s="296"/>
      <c r="Q218" s="296"/>
      <c r="R218" s="84"/>
      <c r="S218" s="70">
        <f t="shared" si="35"/>
        <v>0</v>
      </c>
      <c r="T218" s="70"/>
      <c r="U218" s="70">
        <v>500000</v>
      </c>
      <c r="V218" s="9" t="s">
        <v>758</v>
      </c>
      <c r="W218" s="19"/>
      <c r="X218" s="19"/>
      <c r="Y218" s="67">
        <f t="shared" si="38"/>
        <v>500000</v>
      </c>
      <c r="Z218" s="52"/>
      <c r="AA218" s="52"/>
      <c r="AB218" s="19"/>
      <c r="AC218" s="24">
        <f t="shared" si="39"/>
        <v>949370.57000000007</v>
      </c>
      <c r="AD218" s="19"/>
      <c r="AE218" s="19"/>
      <c r="AF218" s="19"/>
      <c r="AG218" s="19"/>
      <c r="AH218" s="19"/>
      <c r="AI218" s="14"/>
      <c r="AJ218" s="139">
        <v>35</v>
      </c>
      <c r="AK218" s="135" t="s">
        <v>413</v>
      </c>
      <c r="AL218" s="136">
        <v>1500000</v>
      </c>
      <c r="AM218" s="138">
        <v>5</v>
      </c>
    </row>
    <row r="219" spans="1:39" s="27" customFormat="1" ht="33">
      <c r="A219" s="34" t="s">
        <v>876</v>
      </c>
      <c r="B219" s="34"/>
      <c r="C219" s="119" t="s">
        <v>1190</v>
      </c>
      <c r="D219" s="119"/>
      <c r="E219" s="121" t="s">
        <v>906</v>
      </c>
      <c r="F219" s="121"/>
      <c r="G219" s="132" t="s">
        <v>418</v>
      </c>
      <c r="H219" s="132" t="s">
        <v>520</v>
      </c>
      <c r="I219" s="132" t="s">
        <v>108</v>
      </c>
      <c r="J219" s="133" t="s">
        <v>419</v>
      </c>
      <c r="K219" s="134" t="s">
        <v>762</v>
      </c>
      <c r="L219" s="307">
        <f t="shared" si="37"/>
        <v>1449370.57</v>
      </c>
      <c r="M219" s="308"/>
      <c r="N219" s="308">
        <v>1449370.57</v>
      </c>
      <c r="O219" s="296"/>
      <c r="P219" s="296"/>
      <c r="Q219" s="296"/>
      <c r="R219" s="84"/>
      <c r="S219" s="70">
        <f t="shared" si="35"/>
        <v>0</v>
      </c>
      <c r="T219" s="70"/>
      <c r="U219" s="70">
        <v>1449370.57</v>
      </c>
      <c r="V219" s="9" t="s">
        <v>521</v>
      </c>
      <c r="W219" s="19"/>
      <c r="X219" s="19">
        <v>406370.57</v>
      </c>
      <c r="Y219" s="67">
        <f t="shared" si="38"/>
        <v>1043000</v>
      </c>
      <c r="Z219" s="52"/>
      <c r="AA219" s="52"/>
      <c r="AB219" s="19"/>
      <c r="AC219" s="24">
        <f t="shared" si="39"/>
        <v>11350629.43</v>
      </c>
      <c r="AD219" s="19"/>
      <c r="AE219" s="19"/>
      <c r="AF219" s="19"/>
      <c r="AG219" s="19"/>
      <c r="AH219" s="19"/>
      <c r="AI219" s="14"/>
      <c r="AJ219" s="139">
        <v>100</v>
      </c>
      <c r="AK219" s="135" t="s">
        <v>271</v>
      </c>
      <c r="AL219" s="136">
        <v>1803000</v>
      </c>
      <c r="AM219" s="138">
        <v>20</v>
      </c>
    </row>
    <row r="220" spans="1:39" s="27" customFormat="1" ht="49.5">
      <c r="A220" s="34" t="s">
        <v>876</v>
      </c>
      <c r="B220" s="34"/>
      <c r="C220" s="119" t="s">
        <v>1190</v>
      </c>
      <c r="D220" s="119"/>
      <c r="E220" s="121" t="s">
        <v>903</v>
      </c>
      <c r="F220" s="121"/>
      <c r="G220" s="132" t="s">
        <v>418</v>
      </c>
      <c r="H220" s="132" t="s">
        <v>520</v>
      </c>
      <c r="I220" s="132" t="s">
        <v>108</v>
      </c>
      <c r="J220" s="133" t="s">
        <v>419</v>
      </c>
      <c r="K220" s="134" t="s">
        <v>576</v>
      </c>
      <c r="L220" s="307">
        <f t="shared" si="37"/>
        <v>12800000</v>
      </c>
      <c r="M220" s="308"/>
      <c r="N220" s="308">
        <v>12800000</v>
      </c>
      <c r="O220" s="296"/>
      <c r="P220" s="296"/>
      <c r="Q220" s="296"/>
      <c r="R220" s="84"/>
      <c r="S220" s="70">
        <f t="shared" si="35"/>
        <v>0</v>
      </c>
      <c r="T220" s="70"/>
      <c r="U220" s="70">
        <v>12800000</v>
      </c>
      <c r="V220" s="9" t="s">
        <v>521</v>
      </c>
      <c r="W220" s="19"/>
      <c r="X220" s="19"/>
      <c r="Y220" s="67">
        <f t="shared" si="38"/>
        <v>12800000</v>
      </c>
      <c r="Z220" s="52"/>
      <c r="AA220" s="52"/>
      <c r="AB220" s="19"/>
      <c r="AC220" s="24">
        <f t="shared" si="39"/>
        <v>-11219492.01</v>
      </c>
      <c r="AD220" s="19"/>
      <c r="AE220" s="19"/>
      <c r="AF220" s="19"/>
      <c r="AG220" s="19"/>
      <c r="AH220" s="19"/>
      <c r="AI220" s="14"/>
      <c r="AJ220" s="139">
        <v>80</v>
      </c>
      <c r="AK220" s="135" t="s">
        <v>365</v>
      </c>
      <c r="AL220" s="136">
        <v>43766706</v>
      </c>
      <c r="AM220" s="138">
        <v>50</v>
      </c>
    </row>
    <row r="221" spans="1:39" s="27" customFormat="1" ht="66">
      <c r="A221" s="34" t="s">
        <v>876</v>
      </c>
      <c r="B221" s="34"/>
      <c r="C221" s="119" t="s">
        <v>1190</v>
      </c>
      <c r="D221" s="119"/>
      <c r="E221" s="121" t="s">
        <v>903</v>
      </c>
      <c r="F221" s="121"/>
      <c r="G221" s="132" t="s">
        <v>418</v>
      </c>
      <c r="H221" s="132" t="s">
        <v>520</v>
      </c>
      <c r="I221" s="132" t="s">
        <v>108</v>
      </c>
      <c r="J221" s="133" t="s">
        <v>419</v>
      </c>
      <c r="K221" s="134" t="s">
        <v>763</v>
      </c>
      <c r="L221" s="307">
        <f t="shared" si="37"/>
        <v>1580507.99</v>
      </c>
      <c r="M221" s="308"/>
      <c r="N221" s="308">
        <v>1580507.99</v>
      </c>
      <c r="O221" s="296"/>
      <c r="P221" s="296"/>
      <c r="Q221" s="296"/>
      <c r="R221" s="84"/>
      <c r="S221" s="70">
        <f t="shared" si="35"/>
        <v>0</v>
      </c>
      <c r="T221" s="70"/>
      <c r="U221" s="70">
        <v>1580507.99</v>
      </c>
      <c r="V221" s="9" t="s">
        <v>521</v>
      </c>
      <c r="W221" s="19"/>
      <c r="X221" s="19">
        <v>80507.990000000005</v>
      </c>
      <c r="Y221" s="67">
        <f t="shared" si="38"/>
        <v>1500000</v>
      </c>
      <c r="Z221" s="52"/>
      <c r="AA221" s="52"/>
      <c r="AB221" s="19"/>
      <c r="AC221" s="24">
        <f t="shared" si="39"/>
        <v>-252507.99</v>
      </c>
      <c r="AD221" s="19"/>
      <c r="AE221" s="19"/>
      <c r="AF221" s="19"/>
      <c r="AG221" s="19"/>
      <c r="AH221" s="19"/>
      <c r="AI221" s="14"/>
      <c r="AJ221" s="139">
        <v>10</v>
      </c>
      <c r="AK221" s="135" t="s">
        <v>402</v>
      </c>
      <c r="AL221" s="136">
        <v>26228187.600000001</v>
      </c>
      <c r="AM221" s="138">
        <v>5</v>
      </c>
    </row>
    <row r="222" spans="1:39" s="27" customFormat="1" ht="33">
      <c r="A222" s="34" t="s">
        <v>876</v>
      </c>
      <c r="B222" s="34"/>
      <c r="C222" s="119" t="s">
        <v>1191</v>
      </c>
      <c r="D222" s="119"/>
      <c r="E222" s="121" t="s">
        <v>904</v>
      </c>
      <c r="F222" s="121"/>
      <c r="G222" s="132" t="s">
        <v>418</v>
      </c>
      <c r="H222" s="132" t="s">
        <v>520</v>
      </c>
      <c r="I222" s="132" t="s">
        <v>108</v>
      </c>
      <c r="J222" s="133" t="s">
        <v>419</v>
      </c>
      <c r="K222" s="134" t="s">
        <v>990</v>
      </c>
      <c r="L222" s="307">
        <f t="shared" si="37"/>
        <v>1328000</v>
      </c>
      <c r="M222" s="308"/>
      <c r="N222" s="308">
        <v>1328000</v>
      </c>
      <c r="O222" s="296"/>
      <c r="P222" s="296"/>
      <c r="Q222" s="296"/>
      <c r="R222" s="84"/>
      <c r="S222" s="70">
        <f t="shared" si="35"/>
        <v>0</v>
      </c>
      <c r="T222" s="70"/>
      <c r="U222" s="70">
        <v>1328000</v>
      </c>
      <c r="V222" s="9" t="s">
        <v>521</v>
      </c>
      <c r="W222" s="19"/>
      <c r="X222" s="19">
        <v>795547.86</v>
      </c>
      <c r="Y222" s="67">
        <f t="shared" si="38"/>
        <v>532452.14</v>
      </c>
      <c r="Z222" s="52"/>
      <c r="AA222" s="52"/>
      <c r="AB222" s="19"/>
      <c r="AC222" s="24">
        <f t="shared" si="39"/>
        <v>-328000</v>
      </c>
      <c r="AD222" s="19"/>
      <c r="AE222" s="19"/>
      <c r="AF222" s="19"/>
      <c r="AG222" s="19"/>
      <c r="AH222" s="19"/>
      <c r="AI222" s="14"/>
      <c r="AJ222" s="139">
        <v>100</v>
      </c>
      <c r="AK222" s="135" t="s">
        <v>347</v>
      </c>
      <c r="AL222" s="136">
        <v>3714720</v>
      </c>
      <c r="AM222" s="138">
        <v>40</v>
      </c>
    </row>
    <row r="223" spans="1:39" s="27" customFormat="1" ht="66">
      <c r="A223" s="34" t="s">
        <v>876</v>
      </c>
      <c r="B223" s="34"/>
      <c r="C223" s="119" t="s">
        <v>1191</v>
      </c>
      <c r="D223" s="119"/>
      <c r="E223" s="121" t="s">
        <v>901</v>
      </c>
      <c r="F223" s="121"/>
      <c r="G223" s="132" t="s">
        <v>418</v>
      </c>
      <c r="H223" s="132" t="s">
        <v>520</v>
      </c>
      <c r="I223" s="132" t="s">
        <v>108</v>
      </c>
      <c r="J223" s="133" t="s">
        <v>419</v>
      </c>
      <c r="K223" s="134" t="s">
        <v>577</v>
      </c>
      <c r="L223" s="307">
        <f t="shared" si="37"/>
        <v>1000000</v>
      </c>
      <c r="M223" s="308"/>
      <c r="N223" s="308">
        <v>1000000</v>
      </c>
      <c r="O223" s="309"/>
      <c r="P223" s="309"/>
      <c r="Q223" s="309"/>
      <c r="R223" s="84"/>
      <c r="S223" s="70">
        <f t="shared" si="35"/>
        <v>0</v>
      </c>
      <c r="T223" s="70"/>
      <c r="U223" s="70">
        <v>1000000</v>
      </c>
      <c r="V223" s="9" t="s">
        <v>521</v>
      </c>
      <c r="W223" s="19"/>
      <c r="X223" s="19">
        <v>500000</v>
      </c>
      <c r="Y223" s="67">
        <f t="shared" si="38"/>
        <v>500000</v>
      </c>
      <c r="Z223" s="52"/>
      <c r="AA223" s="52"/>
      <c r="AB223" s="19"/>
      <c r="AC223" s="24">
        <f t="shared" si="39"/>
        <v>1908325.4</v>
      </c>
      <c r="AD223" s="19"/>
      <c r="AE223" s="19"/>
      <c r="AF223" s="19"/>
      <c r="AG223" s="19"/>
      <c r="AH223" s="19"/>
      <c r="AI223" s="14"/>
      <c r="AJ223" s="139">
        <v>15</v>
      </c>
      <c r="AK223" s="135" t="s">
        <v>272</v>
      </c>
      <c r="AL223" s="136">
        <v>7600000</v>
      </c>
      <c r="AM223" s="138">
        <v>5</v>
      </c>
    </row>
    <row r="224" spans="1:39" s="27" customFormat="1" ht="33">
      <c r="A224" s="34" t="s">
        <v>876</v>
      </c>
      <c r="B224" s="34"/>
      <c r="C224" s="119" t="s">
        <v>1191</v>
      </c>
      <c r="D224" s="119"/>
      <c r="E224" s="121" t="s">
        <v>903</v>
      </c>
      <c r="F224" s="121"/>
      <c r="G224" s="132" t="s">
        <v>418</v>
      </c>
      <c r="H224" s="132" t="s">
        <v>520</v>
      </c>
      <c r="I224" s="132" t="s">
        <v>108</v>
      </c>
      <c r="J224" s="133" t="s">
        <v>419</v>
      </c>
      <c r="K224" s="134" t="s">
        <v>1287</v>
      </c>
      <c r="L224" s="307">
        <f t="shared" si="37"/>
        <v>2908325.4</v>
      </c>
      <c r="M224" s="308"/>
      <c r="N224" s="308">
        <v>2908325.4</v>
      </c>
      <c r="O224" s="309"/>
      <c r="P224" s="309"/>
      <c r="Q224" s="309"/>
      <c r="R224" s="84"/>
      <c r="S224" s="70">
        <f t="shared" si="35"/>
        <v>0</v>
      </c>
      <c r="T224" s="70"/>
      <c r="U224" s="70">
        <v>2908325.4</v>
      </c>
      <c r="V224" s="9" t="s">
        <v>521</v>
      </c>
      <c r="W224" s="19"/>
      <c r="X224" s="19">
        <v>1385254.2</v>
      </c>
      <c r="Y224" s="67">
        <f t="shared" si="38"/>
        <v>1523071.2</v>
      </c>
      <c r="Z224" s="52"/>
      <c r="AA224" s="52"/>
      <c r="AB224" s="19"/>
      <c r="AC224" s="24">
        <f t="shared" si="39"/>
        <v>-508325.39999999991</v>
      </c>
      <c r="AD224" s="19"/>
      <c r="AE224" s="19"/>
      <c r="AF224" s="19"/>
      <c r="AG224" s="19"/>
      <c r="AH224" s="19"/>
      <c r="AI224" s="14"/>
      <c r="AJ224" s="139">
        <v>100</v>
      </c>
      <c r="AK224" s="135" t="s">
        <v>413</v>
      </c>
      <c r="AL224" s="136">
        <v>4523071</v>
      </c>
      <c r="AM224" s="138">
        <v>70</v>
      </c>
    </row>
    <row r="225" spans="1:39" s="27" customFormat="1" ht="33">
      <c r="A225" s="34" t="s">
        <v>876</v>
      </c>
      <c r="B225" s="34"/>
      <c r="C225" s="119" t="s">
        <v>1191</v>
      </c>
      <c r="D225" s="119"/>
      <c r="E225" s="121" t="s">
        <v>902</v>
      </c>
      <c r="F225" s="121"/>
      <c r="G225" s="132" t="s">
        <v>418</v>
      </c>
      <c r="H225" s="132" t="s">
        <v>520</v>
      </c>
      <c r="I225" s="132" t="s">
        <v>108</v>
      </c>
      <c r="J225" s="133" t="s">
        <v>419</v>
      </c>
      <c r="K225" s="134" t="s">
        <v>1252</v>
      </c>
      <c r="L225" s="307">
        <f t="shared" si="37"/>
        <v>2400000</v>
      </c>
      <c r="M225" s="308"/>
      <c r="N225" s="308">
        <f>1300000+1100000</f>
        <v>2400000</v>
      </c>
      <c r="O225" s="309"/>
      <c r="P225" s="309"/>
      <c r="Q225" s="309"/>
      <c r="R225" s="117"/>
      <c r="S225" s="70">
        <f t="shared" si="35"/>
        <v>1100000</v>
      </c>
      <c r="T225" s="70"/>
      <c r="U225" s="70">
        <v>1300000</v>
      </c>
      <c r="V225" s="9" t="s">
        <v>521</v>
      </c>
      <c r="W225" s="19"/>
      <c r="X225" s="19"/>
      <c r="Y225" s="67">
        <f t="shared" si="38"/>
        <v>2400000</v>
      </c>
      <c r="Z225" s="52"/>
      <c r="AA225" s="52"/>
      <c r="AB225" s="19"/>
      <c r="AC225" s="24">
        <f t="shared" si="39"/>
        <v>-986235.81</v>
      </c>
      <c r="AD225" s="19"/>
      <c r="AE225" s="19"/>
      <c r="AF225" s="19"/>
      <c r="AG225" s="19"/>
      <c r="AH225" s="19"/>
      <c r="AI225" s="14"/>
      <c r="AJ225" s="139">
        <v>75</v>
      </c>
      <c r="AK225" s="135" t="s">
        <v>272</v>
      </c>
      <c r="AL225" s="136">
        <v>3197700</v>
      </c>
      <c r="AM225" s="138">
        <v>5</v>
      </c>
    </row>
    <row r="226" spans="1:39" s="27" customFormat="1" ht="49.5">
      <c r="A226" s="34" t="s">
        <v>876</v>
      </c>
      <c r="B226" s="34"/>
      <c r="C226" s="119" t="s">
        <v>1191</v>
      </c>
      <c r="D226" s="119"/>
      <c r="E226" s="121" t="s">
        <v>905</v>
      </c>
      <c r="F226" s="121"/>
      <c r="G226" s="132" t="s">
        <v>418</v>
      </c>
      <c r="H226" s="132" t="s">
        <v>520</v>
      </c>
      <c r="I226" s="132" t="s">
        <v>108</v>
      </c>
      <c r="J226" s="133" t="s">
        <v>419</v>
      </c>
      <c r="K226" s="134" t="s">
        <v>817</v>
      </c>
      <c r="L226" s="307">
        <f t="shared" si="37"/>
        <v>1413764.19</v>
      </c>
      <c r="M226" s="308"/>
      <c r="N226" s="308">
        <v>1413764.19</v>
      </c>
      <c r="O226" s="309"/>
      <c r="P226" s="309"/>
      <c r="Q226" s="309"/>
      <c r="R226" s="84"/>
      <c r="S226" s="70">
        <f t="shared" si="35"/>
        <v>0</v>
      </c>
      <c r="T226" s="70"/>
      <c r="U226" s="70">
        <v>1413764.19</v>
      </c>
      <c r="V226" s="9" t="s">
        <v>521</v>
      </c>
      <c r="W226" s="19"/>
      <c r="X226" s="19">
        <v>913764.19</v>
      </c>
      <c r="Y226" s="67">
        <f t="shared" si="38"/>
        <v>500000</v>
      </c>
      <c r="Z226" s="52"/>
      <c r="AA226" s="52"/>
      <c r="AB226" s="19"/>
      <c r="AC226" s="24">
        <f t="shared" si="39"/>
        <v>-713764.19</v>
      </c>
      <c r="AD226" s="19"/>
      <c r="AE226" s="19"/>
      <c r="AF226" s="19"/>
      <c r="AG226" s="19"/>
      <c r="AH226" s="19"/>
      <c r="AI226" s="14"/>
      <c r="AJ226" s="139">
        <v>40</v>
      </c>
      <c r="AK226" s="135" t="s">
        <v>272</v>
      </c>
      <c r="AL226" s="136">
        <v>5220163</v>
      </c>
      <c r="AM226" s="138">
        <v>30</v>
      </c>
    </row>
    <row r="227" spans="1:39" s="27" customFormat="1" ht="33">
      <c r="A227" s="34" t="s">
        <v>876</v>
      </c>
      <c r="B227" s="34"/>
      <c r="C227" s="119" t="s">
        <v>1191</v>
      </c>
      <c r="D227" s="119"/>
      <c r="E227" s="121" t="s">
        <v>905</v>
      </c>
      <c r="F227" s="121"/>
      <c r="G227" s="132" t="s">
        <v>418</v>
      </c>
      <c r="H227" s="132" t="s">
        <v>520</v>
      </c>
      <c r="I227" s="132" t="s">
        <v>108</v>
      </c>
      <c r="J227" s="133" t="s">
        <v>419</v>
      </c>
      <c r="K227" s="134" t="s">
        <v>1110</v>
      </c>
      <c r="L227" s="307">
        <f t="shared" si="37"/>
        <v>700000</v>
      </c>
      <c r="M227" s="308"/>
      <c r="N227" s="308">
        <v>700000</v>
      </c>
      <c r="O227" s="309"/>
      <c r="P227" s="309"/>
      <c r="Q227" s="309"/>
      <c r="R227" s="84"/>
      <c r="S227" s="70">
        <f t="shared" si="35"/>
        <v>0</v>
      </c>
      <c r="T227" s="70"/>
      <c r="U227" s="70">
        <v>700000</v>
      </c>
      <c r="V227" s="9" t="s">
        <v>521</v>
      </c>
      <c r="W227" s="19"/>
      <c r="X227" s="19"/>
      <c r="Y227" s="67">
        <f t="shared" si="38"/>
        <v>700000</v>
      </c>
      <c r="Z227" s="52"/>
      <c r="AA227" s="52"/>
      <c r="AB227" s="19"/>
      <c r="AC227" s="24">
        <f t="shared" si="39"/>
        <v>-400000</v>
      </c>
      <c r="AD227" s="19"/>
      <c r="AE227" s="19"/>
      <c r="AF227" s="19"/>
      <c r="AG227" s="19"/>
      <c r="AH227" s="19"/>
      <c r="AI227" s="14"/>
      <c r="AJ227" s="139">
        <v>25</v>
      </c>
      <c r="AK227" s="135" t="s">
        <v>272</v>
      </c>
      <c r="AL227" s="136">
        <v>2999102</v>
      </c>
      <c r="AM227" s="138">
        <v>7.0000000000000009</v>
      </c>
    </row>
    <row r="228" spans="1:39" s="27" customFormat="1" ht="49.5">
      <c r="A228" s="34" t="s">
        <v>876</v>
      </c>
      <c r="B228" s="34"/>
      <c r="C228" s="119" t="s">
        <v>1191</v>
      </c>
      <c r="D228" s="119"/>
      <c r="E228" s="121" t="s">
        <v>903</v>
      </c>
      <c r="F228" s="121"/>
      <c r="G228" s="132" t="s">
        <v>418</v>
      </c>
      <c r="H228" s="132" t="s">
        <v>520</v>
      </c>
      <c r="I228" s="132" t="s">
        <v>108</v>
      </c>
      <c r="J228" s="133" t="s">
        <v>419</v>
      </c>
      <c r="K228" s="134" t="s">
        <v>818</v>
      </c>
      <c r="L228" s="307">
        <f t="shared" si="37"/>
        <v>300000</v>
      </c>
      <c r="M228" s="308"/>
      <c r="N228" s="308">
        <v>300000</v>
      </c>
      <c r="O228" s="309"/>
      <c r="P228" s="309"/>
      <c r="Q228" s="309"/>
      <c r="R228" s="84"/>
      <c r="S228" s="70">
        <f t="shared" si="35"/>
        <v>0</v>
      </c>
      <c r="T228" s="70"/>
      <c r="U228" s="70">
        <v>300000</v>
      </c>
      <c r="V228" s="9" t="s">
        <v>521</v>
      </c>
      <c r="W228" s="19"/>
      <c r="X228" s="19"/>
      <c r="Y228" s="67">
        <f t="shared" si="38"/>
        <v>300000</v>
      </c>
      <c r="Z228" s="52"/>
      <c r="AA228" s="52"/>
      <c r="AB228" s="19"/>
      <c r="AC228" s="24">
        <f t="shared" si="39"/>
        <v>0</v>
      </c>
      <c r="AD228" s="19"/>
      <c r="AE228" s="19"/>
      <c r="AF228" s="19"/>
      <c r="AG228" s="19"/>
      <c r="AH228" s="19"/>
      <c r="AI228" s="14"/>
      <c r="AJ228" s="139"/>
      <c r="AK228" s="135">
        <v>2021</v>
      </c>
      <c r="AL228" s="136">
        <v>300000</v>
      </c>
      <c r="AM228" s="138"/>
    </row>
    <row r="229" spans="1:39" s="27" customFormat="1" ht="33">
      <c r="A229" s="34" t="s">
        <v>876</v>
      </c>
      <c r="B229" s="34"/>
      <c r="C229" s="119" t="s">
        <v>1191</v>
      </c>
      <c r="D229" s="119"/>
      <c r="E229" s="121" t="s">
        <v>905</v>
      </c>
      <c r="F229" s="121"/>
      <c r="G229" s="132" t="s">
        <v>418</v>
      </c>
      <c r="H229" s="132" t="s">
        <v>520</v>
      </c>
      <c r="I229" s="132" t="s">
        <v>108</v>
      </c>
      <c r="J229" s="133" t="s">
        <v>419</v>
      </c>
      <c r="K229" s="134" t="s">
        <v>1085</v>
      </c>
      <c r="L229" s="307">
        <f t="shared" si="37"/>
        <v>300000</v>
      </c>
      <c r="M229" s="308"/>
      <c r="N229" s="308">
        <v>300000</v>
      </c>
      <c r="O229" s="309"/>
      <c r="P229" s="309"/>
      <c r="Q229" s="309"/>
      <c r="R229" s="84"/>
      <c r="S229" s="70">
        <f t="shared" si="35"/>
        <v>0</v>
      </c>
      <c r="T229" s="70"/>
      <c r="U229" s="70">
        <v>300000</v>
      </c>
      <c r="V229" s="9" t="s">
        <v>521</v>
      </c>
      <c r="W229" s="19"/>
      <c r="X229" s="19"/>
      <c r="Y229" s="67">
        <f t="shared" si="38"/>
        <v>300000</v>
      </c>
      <c r="Z229" s="52"/>
      <c r="AA229" s="52"/>
      <c r="AB229" s="19"/>
      <c r="AC229" s="24">
        <f>X9+Y9+AB229-N229</f>
        <v>-300000</v>
      </c>
      <c r="AD229" s="19"/>
      <c r="AE229" s="19"/>
      <c r="AF229" s="19"/>
      <c r="AG229" s="19"/>
      <c r="AH229" s="19"/>
      <c r="AI229" s="14"/>
      <c r="AJ229" s="139"/>
      <c r="AK229" s="135">
        <v>2021</v>
      </c>
      <c r="AL229" s="136">
        <v>300000</v>
      </c>
      <c r="AM229" s="138"/>
    </row>
    <row r="230" spans="1:39" s="27" customFormat="1" ht="33">
      <c r="A230" s="34" t="s">
        <v>876</v>
      </c>
      <c r="B230" s="34"/>
      <c r="C230" s="119" t="s">
        <v>1192</v>
      </c>
      <c r="D230" s="119"/>
      <c r="E230" s="121" t="s">
        <v>904</v>
      </c>
      <c r="F230" s="121"/>
      <c r="G230" s="132" t="s">
        <v>418</v>
      </c>
      <c r="H230" s="132" t="s">
        <v>520</v>
      </c>
      <c r="I230" s="132" t="s">
        <v>108</v>
      </c>
      <c r="J230" s="133" t="s">
        <v>419</v>
      </c>
      <c r="K230" s="134" t="s">
        <v>1253</v>
      </c>
      <c r="L230" s="307">
        <f t="shared" si="37"/>
        <v>1800000</v>
      </c>
      <c r="M230" s="308"/>
      <c r="N230" s="308">
        <v>1800000</v>
      </c>
      <c r="O230" s="309"/>
      <c r="P230" s="309"/>
      <c r="Q230" s="309"/>
      <c r="R230" s="84"/>
      <c r="S230" s="70">
        <f t="shared" si="35"/>
        <v>0</v>
      </c>
      <c r="T230" s="70"/>
      <c r="U230" s="70">
        <v>1800000</v>
      </c>
      <c r="V230" s="9" t="s">
        <v>756</v>
      </c>
      <c r="W230" s="19" t="s">
        <v>273</v>
      </c>
      <c r="X230" s="19">
        <v>300000</v>
      </c>
      <c r="Y230" s="67">
        <f t="shared" si="38"/>
        <v>1500000</v>
      </c>
      <c r="Z230" s="52"/>
      <c r="AA230" s="52"/>
      <c r="AB230" s="19">
        <v>100000</v>
      </c>
      <c r="AC230" s="24">
        <f t="shared" ref="AC230:AC261" si="40">X231+Y231+AB230-N230</f>
        <v>-1666508.6</v>
      </c>
      <c r="AD230" s="19"/>
      <c r="AE230" s="19"/>
      <c r="AF230" s="19"/>
      <c r="AG230" s="19"/>
      <c r="AH230" s="19"/>
      <c r="AI230" s="14"/>
      <c r="AJ230" s="139">
        <v>100</v>
      </c>
      <c r="AK230" s="135" t="s">
        <v>271</v>
      </c>
      <c r="AL230" s="136">
        <v>6488981</v>
      </c>
      <c r="AM230" s="138">
        <v>80</v>
      </c>
    </row>
    <row r="231" spans="1:39" s="27" customFormat="1" ht="33">
      <c r="A231" s="34" t="s">
        <v>876</v>
      </c>
      <c r="B231" s="34"/>
      <c r="C231" s="119" t="s">
        <v>1192</v>
      </c>
      <c r="D231" s="119"/>
      <c r="E231" s="121" t="s">
        <v>901</v>
      </c>
      <c r="F231" s="121"/>
      <c r="G231" s="132" t="s">
        <v>418</v>
      </c>
      <c r="H231" s="132" t="s">
        <v>520</v>
      </c>
      <c r="I231" s="132" t="s">
        <v>108</v>
      </c>
      <c r="J231" s="133" t="s">
        <v>419</v>
      </c>
      <c r="K231" s="134" t="s">
        <v>579</v>
      </c>
      <c r="L231" s="307">
        <f t="shared" si="37"/>
        <v>33491.4</v>
      </c>
      <c r="M231" s="308"/>
      <c r="N231" s="308">
        <v>33491.4</v>
      </c>
      <c r="O231" s="309"/>
      <c r="P231" s="309"/>
      <c r="Q231" s="309"/>
      <c r="R231" s="84"/>
      <c r="S231" s="70">
        <f t="shared" si="35"/>
        <v>0</v>
      </c>
      <c r="T231" s="70"/>
      <c r="U231" s="70">
        <v>33491.4</v>
      </c>
      <c r="V231" s="9" t="s">
        <v>521</v>
      </c>
      <c r="W231" s="19" t="s">
        <v>273</v>
      </c>
      <c r="X231" s="19">
        <v>33491.4</v>
      </c>
      <c r="Y231" s="67">
        <f t="shared" si="38"/>
        <v>0</v>
      </c>
      <c r="Z231" s="52"/>
      <c r="AA231" s="52"/>
      <c r="AB231" s="19"/>
      <c r="AC231" s="24">
        <f t="shared" si="40"/>
        <v>538695.03999999992</v>
      </c>
      <c r="AD231" s="19"/>
      <c r="AE231" s="19"/>
      <c r="AF231" s="19"/>
      <c r="AG231" s="19"/>
      <c r="AH231" s="19"/>
      <c r="AI231" s="14"/>
      <c r="AJ231" s="139">
        <v>100</v>
      </c>
      <c r="AK231" s="135" t="s">
        <v>271</v>
      </c>
      <c r="AL231" s="136">
        <v>1493513</v>
      </c>
      <c r="AM231" s="138">
        <v>80</v>
      </c>
    </row>
    <row r="232" spans="1:39" s="27" customFormat="1" ht="49.5" customHeight="1">
      <c r="A232" s="34" t="s">
        <v>876</v>
      </c>
      <c r="B232" s="34"/>
      <c r="C232" s="119" t="s">
        <v>1192</v>
      </c>
      <c r="D232" s="119"/>
      <c r="E232" s="121" t="s">
        <v>902</v>
      </c>
      <c r="F232" s="121"/>
      <c r="G232" s="132" t="s">
        <v>418</v>
      </c>
      <c r="H232" s="132" t="s">
        <v>520</v>
      </c>
      <c r="I232" s="132" t="s">
        <v>108</v>
      </c>
      <c r="J232" s="133" t="s">
        <v>419</v>
      </c>
      <c r="K232" s="134" t="s">
        <v>580</v>
      </c>
      <c r="L232" s="307">
        <f t="shared" si="37"/>
        <v>572186.43999999994</v>
      </c>
      <c r="M232" s="308"/>
      <c r="N232" s="308">
        <v>572186.43999999994</v>
      </c>
      <c r="O232" s="309"/>
      <c r="P232" s="309"/>
      <c r="Q232" s="309"/>
      <c r="R232" s="84"/>
      <c r="S232" s="70">
        <f t="shared" ref="S232:S295" si="41">N232-U232</f>
        <v>0</v>
      </c>
      <c r="T232" s="70"/>
      <c r="U232" s="70">
        <v>572186.43999999994</v>
      </c>
      <c r="V232" s="69" t="s">
        <v>521</v>
      </c>
      <c r="W232" s="67"/>
      <c r="X232" s="67">
        <v>572186.43999999994</v>
      </c>
      <c r="Y232" s="67">
        <f t="shared" si="38"/>
        <v>0</v>
      </c>
      <c r="Z232" s="67"/>
      <c r="AA232" s="67"/>
      <c r="AB232" s="67"/>
      <c r="AC232" s="65">
        <f t="shared" si="40"/>
        <v>679583.56</v>
      </c>
      <c r="AD232" s="67"/>
      <c r="AE232" s="67"/>
      <c r="AF232" s="67"/>
      <c r="AG232" s="67"/>
      <c r="AH232" s="67"/>
      <c r="AI232" s="14"/>
      <c r="AJ232" s="139">
        <v>100</v>
      </c>
      <c r="AK232" s="135" t="s">
        <v>271</v>
      </c>
      <c r="AL232" s="136">
        <v>3845500</v>
      </c>
      <c r="AM232" s="138">
        <v>80</v>
      </c>
    </row>
    <row r="233" spans="1:39" s="27" customFormat="1" ht="49.5">
      <c r="A233" s="34" t="s">
        <v>876</v>
      </c>
      <c r="B233" s="34"/>
      <c r="C233" s="119" t="s">
        <v>1192</v>
      </c>
      <c r="D233" s="119"/>
      <c r="E233" s="121" t="s">
        <v>905</v>
      </c>
      <c r="F233" s="121"/>
      <c r="G233" s="132" t="s">
        <v>418</v>
      </c>
      <c r="H233" s="132" t="s">
        <v>520</v>
      </c>
      <c r="I233" s="132" t="s">
        <v>108</v>
      </c>
      <c r="J233" s="133" t="s">
        <v>419</v>
      </c>
      <c r="K233" s="134" t="s">
        <v>581</v>
      </c>
      <c r="L233" s="307">
        <f t="shared" si="37"/>
        <v>1251770</v>
      </c>
      <c r="M233" s="308"/>
      <c r="N233" s="308">
        <v>1251770</v>
      </c>
      <c r="O233" s="309"/>
      <c r="P233" s="309"/>
      <c r="Q233" s="309"/>
      <c r="R233" s="84"/>
      <c r="S233" s="70">
        <f t="shared" si="41"/>
        <v>0</v>
      </c>
      <c r="T233" s="70"/>
      <c r="U233" s="70">
        <v>1251770</v>
      </c>
      <c r="V233" s="9" t="s">
        <v>521</v>
      </c>
      <c r="W233" s="19"/>
      <c r="X233" s="19">
        <v>4469.88</v>
      </c>
      <c r="Y233" s="67">
        <f t="shared" si="38"/>
        <v>1247300.1200000001</v>
      </c>
      <c r="Z233" s="52"/>
      <c r="AA233" s="52"/>
      <c r="AB233" s="19"/>
      <c r="AC233" s="24">
        <f t="shared" si="40"/>
        <v>-901770</v>
      </c>
      <c r="AD233" s="19"/>
      <c r="AE233" s="19"/>
      <c r="AF233" s="19"/>
      <c r="AG233" s="19"/>
      <c r="AH233" s="19"/>
      <c r="AI233" s="14"/>
      <c r="AJ233" s="139">
        <v>100</v>
      </c>
      <c r="AK233" s="135" t="s">
        <v>271</v>
      </c>
      <c r="AL233" s="136">
        <v>4246412</v>
      </c>
      <c r="AM233" s="138">
        <v>90</v>
      </c>
    </row>
    <row r="234" spans="1:39" s="27" customFormat="1" ht="33">
      <c r="A234" s="34" t="s">
        <v>876</v>
      </c>
      <c r="B234" s="34"/>
      <c r="C234" s="119" t="s">
        <v>1192</v>
      </c>
      <c r="D234" s="119"/>
      <c r="E234" s="121" t="s">
        <v>904</v>
      </c>
      <c r="F234" s="121"/>
      <c r="G234" s="132" t="s">
        <v>418</v>
      </c>
      <c r="H234" s="132" t="s">
        <v>520</v>
      </c>
      <c r="I234" s="132" t="s">
        <v>108</v>
      </c>
      <c r="J234" s="133" t="s">
        <v>419</v>
      </c>
      <c r="K234" s="134" t="s">
        <v>819</v>
      </c>
      <c r="L234" s="307">
        <f t="shared" si="37"/>
        <v>350000</v>
      </c>
      <c r="M234" s="308"/>
      <c r="N234" s="308">
        <v>350000</v>
      </c>
      <c r="O234" s="309"/>
      <c r="P234" s="309"/>
      <c r="Q234" s="309"/>
      <c r="R234" s="84"/>
      <c r="S234" s="70">
        <f t="shared" si="41"/>
        <v>0</v>
      </c>
      <c r="T234" s="70"/>
      <c r="U234" s="70">
        <v>350000</v>
      </c>
      <c r="V234" s="9" t="s">
        <v>521</v>
      </c>
      <c r="W234" s="19"/>
      <c r="X234" s="19">
        <v>350000</v>
      </c>
      <c r="Y234" s="67">
        <f t="shared" si="38"/>
        <v>0</v>
      </c>
      <c r="Z234" s="52"/>
      <c r="AA234" s="52"/>
      <c r="AB234" s="19"/>
      <c r="AC234" s="24">
        <f t="shared" si="40"/>
        <v>-160000</v>
      </c>
      <c r="AD234" s="19"/>
      <c r="AE234" s="19"/>
      <c r="AF234" s="19"/>
      <c r="AG234" s="19"/>
      <c r="AH234" s="19"/>
      <c r="AI234" s="14"/>
      <c r="AJ234" s="139">
        <v>65</v>
      </c>
      <c r="AK234" s="135" t="s">
        <v>271</v>
      </c>
      <c r="AL234" s="136">
        <v>6640659</v>
      </c>
      <c r="AM234" s="138">
        <v>60</v>
      </c>
    </row>
    <row r="235" spans="1:39" s="27" customFormat="1" ht="49.5">
      <c r="A235" s="34" t="s">
        <v>876</v>
      </c>
      <c r="B235" s="34"/>
      <c r="C235" s="119" t="s">
        <v>1192</v>
      </c>
      <c r="D235" s="119"/>
      <c r="E235" s="121" t="s">
        <v>904</v>
      </c>
      <c r="F235" s="121"/>
      <c r="G235" s="132" t="s">
        <v>418</v>
      </c>
      <c r="H235" s="132" t="s">
        <v>520</v>
      </c>
      <c r="I235" s="132" t="s">
        <v>108</v>
      </c>
      <c r="J235" s="133" t="s">
        <v>419</v>
      </c>
      <c r="K235" s="134" t="s">
        <v>1130</v>
      </c>
      <c r="L235" s="307">
        <f t="shared" si="37"/>
        <v>190000</v>
      </c>
      <c r="M235" s="308"/>
      <c r="N235" s="308">
        <v>190000</v>
      </c>
      <c r="O235" s="309"/>
      <c r="P235" s="309"/>
      <c r="Q235" s="309"/>
      <c r="R235" s="84"/>
      <c r="S235" s="70">
        <f t="shared" si="41"/>
        <v>0</v>
      </c>
      <c r="T235" s="70"/>
      <c r="U235" s="70">
        <v>190000</v>
      </c>
      <c r="V235" s="9" t="s">
        <v>521</v>
      </c>
      <c r="W235" s="19"/>
      <c r="X235" s="19">
        <v>190000</v>
      </c>
      <c r="Y235" s="67">
        <f t="shared" si="38"/>
        <v>0</v>
      </c>
      <c r="Z235" s="52"/>
      <c r="AA235" s="52"/>
      <c r="AB235" s="19"/>
      <c r="AC235" s="24">
        <f t="shared" si="40"/>
        <v>-60000</v>
      </c>
      <c r="AD235" s="19"/>
      <c r="AE235" s="19"/>
      <c r="AF235" s="19"/>
      <c r="AG235" s="19"/>
      <c r="AH235" s="19"/>
      <c r="AI235" s="14"/>
      <c r="AJ235" s="139">
        <v>5</v>
      </c>
      <c r="AK235" s="135" t="s">
        <v>272</v>
      </c>
      <c r="AL235" s="136">
        <v>1000000</v>
      </c>
      <c r="AM235" s="138">
        <v>5</v>
      </c>
    </row>
    <row r="236" spans="1:39" s="27" customFormat="1" ht="49.5">
      <c r="A236" s="34" t="s">
        <v>876</v>
      </c>
      <c r="B236" s="34"/>
      <c r="C236" s="119" t="s">
        <v>1192</v>
      </c>
      <c r="D236" s="119"/>
      <c r="E236" s="121" t="s">
        <v>904</v>
      </c>
      <c r="F236" s="121"/>
      <c r="G236" s="132" t="s">
        <v>418</v>
      </c>
      <c r="H236" s="132" t="s">
        <v>520</v>
      </c>
      <c r="I236" s="132" t="s">
        <v>108</v>
      </c>
      <c r="J236" s="133" t="s">
        <v>419</v>
      </c>
      <c r="K236" s="134" t="s">
        <v>820</v>
      </c>
      <c r="L236" s="307">
        <f t="shared" si="37"/>
        <v>130000</v>
      </c>
      <c r="M236" s="308"/>
      <c r="N236" s="308">
        <v>130000</v>
      </c>
      <c r="O236" s="309"/>
      <c r="P236" s="309"/>
      <c r="Q236" s="309"/>
      <c r="R236" s="84"/>
      <c r="S236" s="70">
        <f t="shared" si="41"/>
        <v>0</v>
      </c>
      <c r="T236" s="70"/>
      <c r="U236" s="70">
        <v>130000</v>
      </c>
      <c r="V236" s="9" t="s">
        <v>521</v>
      </c>
      <c r="W236" s="19"/>
      <c r="X236" s="19">
        <v>130000</v>
      </c>
      <c r="Y236" s="67">
        <f t="shared" si="38"/>
        <v>0</v>
      </c>
      <c r="Z236" s="52"/>
      <c r="AA236" s="52"/>
      <c r="AB236" s="19"/>
      <c r="AC236" s="24">
        <f t="shared" si="40"/>
        <v>-38500</v>
      </c>
      <c r="AD236" s="19"/>
      <c r="AE236" s="19"/>
      <c r="AF236" s="19"/>
      <c r="AG236" s="19"/>
      <c r="AH236" s="19"/>
      <c r="AI236" s="14"/>
      <c r="AJ236" s="139">
        <v>5</v>
      </c>
      <c r="AK236" s="135" t="s">
        <v>272</v>
      </c>
      <c r="AL236" s="136">
        <v>1000000</v>
      </c>
      <c r="AM236" s="138">
        <v>5</v>
      </c>
    </row>
    <row r="237" spans="1:39" s="27" customFormat="1" ht="49.5">
      <c r="A237" s="34" t="s">
        <v>876</v>
      </c>
      <c r="B237" s="34"/>
      <c r="C237" s="119" t="s">
        <v>1192</v>
      </c>
      <c r="D237" s="119"/>
      <c r="E237" s="121" t="s">
        <v>904</v>
      </c>
      <c r="F237" s="121"/>
      <c r="G237" s="132" t="s">
        <v>418</v>
      </c>
      <c r="H237" s="132" t="s">
        <v>520</v>
      </c>
      <c r="I237" s="132" t="s">
        <v>108</v>
      </c>
      <c r="J237" s="133" t="s">
        <v>419</v>
      </c>
      <c r="K237" s="134" t="s">
        <v>764</v>
      </c>
      <c r="L237" s="307">
        <f t="shared" si="37"/>
        <v>91500</v>
      </c>
      <c r="M237" s="308"/>
      <c r="N237" s="308">
        <v>91500</v>
      </c>
      <c r="O237" s="309"/>
      <c r="P237" s="309"/>
      <c r="Q237" s="309"/>
      <c r="R237" s="84"/>
      <c r="S237" s="70">
        <f t="shared" si="41"/>
        <v>0</v>
      </c>
      <c r="T237" s="70"/>
      <c r="U237" s="70">
        <v>91500</v>
      </c>
      <c r="V237" s="9" t="s">
        <v>521</v>
      </c>
      <c r="W237" s="19"/>
      <c r="X237" s="19">
        <v>91500</v>
      </c>
      <c r="Y237" s="67">
        <f t="shared" si="38"/>
        <v>0</v>
      </c>
      <c r="Z237" s="52"/>
      <c r="AA237" s="52"/>
      <c r="AB237" s="19"/>
      <c r="AC237" s="24">
        <f t="shared" si="40"/>
        <v>22500</v>
      </c>
      <c r="AD237" s="19"/>
      <c r="AE237" s="19"/>
      <c r="AF237" s="19"/>
      <c r="AG237" s="19"/>
      <c r="AH237" s="19"/>
      <c r="AI237" s="14"/>
      <c r="AJ237" s="139">
        <v>5</v>
      </c>
      <c r="AK237" s="135" t="s">
        <v>272</v>
      </c>
      <c r="AL237" s="136">
        <v>5043682</v>
      </c>
      <c r="AM237" s="138">
        <v>5</v>
      </c>
    </row>
    <row r="238" spans="1:39" s="27" customFormat="1" ht="49.5">
      <c r="A238" s="34" t="s">
        <v>876</v>
      </c>
      <c r="B238" s="34"/>
      <c r="C238" s="119" t="s">
        <v>1192</v>
      </c>
      <c r="D238" s="119"/>
      <c r="E238" s="121" t="s">
        <v>901</v>
      </c>
      <c r="F238" s="121"/>
      <c r="G238" s="132" t="s">
        <v>418</v>
      </c>
      <c r="H238" s="132" t="s">
        <v>520</v>
      </c>
      <c r="I238" s="132" t="s">
        <v>108</v>
      </c>
      <c r="J238" s="133" t="s">
        <v>419</v>
      </c>
      <c r="K238" s="134" t="s">
        <v>1254</v>
      </c>
      <c r="L238" s="307">
        <f t="shared" si="37"/>
        <v>114000</v>
      </c>
      <c r="M238" s="308"/>
      <c r="N238" s="308">
        <v>114000</v>
      </c>
      <c r="O238" s="309"/>
      <c r="P238" s="309"/>
      <c r="Q238" s="309"/>
      <c r="R238" s="84"/>
      <c r="S238" s="70">
        <f t="shared" si="41"/>
        <v>0</v>
      </c>
      <c r="T238" s="70"/>
      <c r="U238" s="70">
        <v>114000</v>
      </c>
      <c r="V238" s="9" t="s">
        <v>756</v>
      </c>
      <c r="W238" s="19" t="s">
        <v>273</v>
      </c>
      <c r="X238" s="19">
        <v>114000</v>
      </c>
      <c r="Y238" s="67">
        <f t="shared" si="38"/>
        <v>0</v>
      </c>
      <c r="Z238" s="52"/>
      <c r="AA238" s="52"/>
      <c r="AB238" s="19">
        <f>N238</f>
        <v>114000</v>
      </c>
      <c r="AC238" s="24">
        <f t="shared" si="40"/>
        <v>250000</v>
      </c>
      <c r="AD238" s="19"/>
      <c r="AE238" s="19"/>
      <c r="AF238" s="19"/>
      <c r="AG238" s="19"/>
      <c r="AH238" s="19"/>
      <c r="AI238" s="14"/>
      <c r="AJ238" s="139">
        <v>5</v>
      </c>
      <c r="AK238" s="135" t="s">
        <v>272</v>
      </c>
      <c r="AL238" s="136">
        <v>1000000</v>
      </c>
      <c r="AM238" s="138">
        <v>5</v>
      </c>
    </row>
    <row r="239" spans="1:39" s="27" customFormat="1" ht="49.5">
      <c r="A239" s="34" t="s">
        <v>876</v>
      </c>
      <c r="B239" s="34"/>
      <c r="C239" s="119" t="s">
        <v>1192</v>
      </c>
      <c r="D239" s="119"/>
      <c r="E239" s="121" t="s">
        <v>904</v>
      </c>
      <c r="F239" s="121"/>
      <c r="G239" s="132" t="s">
        <v>418</v>
      </c>
      <c r="H239" s="132" t="s">
        <v>520</v>
      </c>
      <c r="I239" s="132" t="s">
        <v>108</v>
      </c>
      <c r="J239" s="133" t="s">
        <v>419</v>
      </c>
      <c r="K239" s="134" t="s">
        <v>1131</v>
      </c>
      <c r="L239" s="307">
        <f t="shared" si="37"/>
        <v>250000</v>
      </c>
      <c r="M239" s="308"/>
      <c r="N239" s="308">
        <v>250000</v>
      </c>
      <c r="O239" s="309"/>
      <c r="P239" s="309"/>
      <c r="Q239" s="309"/>
      <c r="R239" s="84"/>
      <c r="S239" s="70">
        <f t="shared" si="41"/>
        <v>0</v>
      </c>
      <c r="T239" s="70"/>
      <c r="U239" s="70">
        <v>250000</v>
      </c>
      <c r="V239" s="9" t="s">
        <v>756</v>
      </c>
      <c r="W239" s="19" t="s">
        <v>273</v>
      </c>
      <c r="X239" s="19">
        <v>250000</v>
      </c>
      <c r="Y239" s="67">
        <f t="shared" si="38"/>
        <v>0</v>
      </c>
      <c r="Z239" s="52"/>
      <c r="AA239" s="52"/>
      <c r="AB239" s="19">
        <f>N239</f>
        <v>250000</v>
      </c>
      <c r="AC239" s="24">
        <f t="shared" si="40"/>
        <v>207000</v>
      </c>
      <c r="AD239" s="19"/>
      <c r="AE239" s="19"/>
      <c r="AF239" s="19"/>
      <c r="AG239" s="19"/>
      <c r="AH239" s="19"/>
      <c r="AI239" s="14"/>
      <c r="AJ239" s="139">
        <v>5</v>
      </c>
      <c r="AK239" s="135" t="s">
        <v>272</v>
      </c>
      <c r="AL239" s="136">
        <v>1000000</v>
      </c>
      <c r="AM239" s="138">
        <v>5</v>
      </c>
    </row>
    <row r="240" spans="1:39" s="27" customFormat="1" ht="49.5">
      <c r="A240" s="34" t="s">
        <v>876</v>
      </c>
      <c r="B240" s="34"/>
      <c r="C240" s="119" t="s">
        <v>1192</v>
      </c>
      <c r="D240" s="119"/>
      <c r="E240" s="121" t="s">
        <v>904</v>
      </c>
      <c r="F240" s="121"/>
      <c r="G240" s="132" t="s">
        <v>418</v>
      </c>
      <c r="H240" s="132" t="s">
        <v>520</v>
      </c>
      <c r="I240" s="132" t="s">
        <v>108</v>
      </c>
      <c r="J240" s="133" t="s">
        <v>419</v>
      </c>
      <c r="K240" s="134" t="s">
        <v>821</v>
      </c>
      <c r="L240" s="307">
        <f t="shared" si="37"/>
        <v>207000</v>
      </c>
      <c r="M240" s="308"/>
      <c r="N240" s="308">
        <v>207000</v>
      </c>
      <c r="O240" s="309"/>
      <c r="P240" s="309"/>
      <c r="Q240" s="309"/>
      <c r="R240" s="84"/>
      <c r="S240" s="70">
        <f t="shared" si="41"/>
        <v>0</v>
      </c>
      <c r="T240" s="70"/>
      <c r="U240" s="70">
        <v>207000</v>
      </c>
      <c r="V240" s="9" t="s">
        <v>521</v>
      </c>
      <c r="W240" s="19" t="s">
        <v>273</v>
      </c>
      <c r="X240" s="19">
        <v>207000</v>
      </c>
      <c r="Y240" s="67">
        <f t="shared" si="38"/>
        <v>0</v>
      </c>
      <c r="Z240" s="52"/>
      <c r="AA240" s="52"/>
      <c r="AB240" s="19"/>
      <c r="AC240" s="24">
        <f t="shared" si="40"/>
        <v>-106000</v>
      </c>
      <c r="AD240" s="19"/>
      <c r="AE240" s="19"/>
      <c r="AF240" s="19"/>
      <c r="AG240" s="19"/>
      <c r="AH240" s="19"/>
      <c r="AI240" s="14"/>
      <c r="AJ240" s="139">
        <v>5</v>
      </c>
      <c r="AK240" s="135" t="s">
        <v>272</v>
      </c>
      <c r="AL240" s="136">
        <v>1500000</v>
      </c>
      <c r="AM240" s="138">
        <v>5</v>
      </c>
    </row>
    <row r="241" spans="1:39" s="27" customFormat="1" ht="49.5">
      <c r="A241" s="34" t="s">
        <v>876</v>
      </c>
      <c r="B241" s="34"/>
      <c r="C241" s="119" t="s">
        <v>1192</v>
      </c>
      <c r="D241" s="119"/>
      <c r="E241" s="121" t="s">
        <v>904</v>
      </c>
      <c r="F241" s="121"/>
      <c r="G241" s="132" t="s">
        <v>418</v>
      </c>
      <c r="H241" s="132" t="s">
        <v>520</v>
      </c>
      <c r="I241" s="132" t="s">
        <v>108</v>
      </c>
      <c r="J241" s="133" t="s">
        <v>419</v>
      </c>
      <c r="K241" s="134" t="s">
        <v>822</v>
      </c>
      <c r="L241" s="307">
        <f t="shared" si="37"/>
        <v>101000</v>
      </c>
      <c r="M241" s="308"/>
      <c r="N241" s="308">
        <v>101000</v>
      </c>
      <c r="O241" s="309"/>
      <c r="P241" s="309"/>
      <c r="Q241" s="309"/>
      <c r="R241" s="84"/>
      <c r="S241" s="70">
        <f t="shared" si="41"/>
        <v>0</v>
      </c>
      <c r="T241" s="70"/>
      <c r="U241" s="70">
        <v>101000</v>
      </c>
      <c r="V241" s="9" t="s">
        <v>521</v>
      </c>
      <c r="W241" s="19"/>
      <c r="X241" s="19">
        <v>101000</v>
      </c>
      <c r="Y241" s="67">
        <f t="shared" si="38"/>
        <v>0</v>
      </c>
      <c r="Z241" s="52"/>
      <c r="AA241" s="52"/>
      <c r="AB241" s="19"/>
      <c r="AC241" s="24">
        <f t="shared" si="40"/>
        <v>-31000</v>
      </c>
      <c r="AD241" s="19"/>
      <c r="AE241" s="19"/>
      <c r="AF241" s="19"/>
      <c r="AG241" s="19"/>
      <c r="AH241" s="19"/>
      <c r="AI241" s="14"/>
      <c r="AJ241" s="139">
        <v>5</v>
      </c>
      <c r="AK241" s="135" t="s">
        <v>272</v>
      </c>
      <c r="AL241" s="136">
        <v>1000000</v>
      </c>
      <c r="AM241" s="138">
        <v>5</v>
      </c>
    </row>
    <row r="242" spans="1:39" s="27" customFormat="1" ht="49.5">
      <c r="A242" s="34" t="s">
        <v>876</v>
      </c>
      <c r="B242" s="34"/>
      <c r="C242" s="119" t="s">
        <v>1192</v>
      </c>
      <c r="D242" s="119"/>
      <c r="E242" s="121" t="s">
        <v>906</v>
      </c>
      <c r="F242" s="121"/>
      <c r="G242" s="132" t="s">
        <v>418</v>
      </c>
      <c r="H242" s="132" t="s">
        <v>520</v>
      </c>
      <c r="I242" s="132" t="s">
        <v>108</v>
      </c>
      <c r="J242" s="133" t="s">
        <v>419</v>
      </c>
      <c r="K242" s="134" t="s">
        <v>1086</v>
      </c>
      <c r="L242" s="307">
        <f t="shared" si="37"/>
        <v>70000</v>
      </c>
      <c r="M242" s="308"/>
      <c r="N242" s="308">
        <v>70000</v>
      </c>
      <c r="O242" s="309"/>
      <c r="P242" s="309"/>
      <c r="Q242" s="309"/>
      <c r="R242" s="84"/>
      <c r="S242" s="70">
        <f t="shared" si="41"/>
        <v>0</v>
      </c>
      <c r="T242" s="70"/>
      <c r="U242" s="70">
        <v>70000</v>
      </c>
      <c r="V242" s="9" t="s">
        <v>521</v>
      </c>
      <c r="W242" s="19"/>
      <c r="X242" s="19">
        <v>70000</v>
      </c>
      <c r="Y242" s="67">
        <f t="shared" si="38"/>
        <v>0</v>
      </c>
      <c r="Z242" s="52"/>
      <c r="AA242" s="52"/>
      <c r="AB242" s="19"/>
      <c r="AC242" s="24">
        <f t="shared" si="40"/>
        <v>2575000</v>
      </c>
      <c r="AD242" s="19"/>
      <c r="AE242" s="19"/>
      <c r="AF242" s="19"/>
      <c r="AG242" s="19"/>
      <c r="AH242" s="19"/>
      <c r="AI242" s="14"/>
      <c r="AJ242" s="139">
        <v>5</v>
      </c>
      <c r="AK242" s="135" t="s">
        <v>272</v>
      </c>
      <c r="AL242" s="136">
        <v>2775000</v>
      </c>
      <c r="AM242" s="138">
        <v>5</v>
      </c>
    </row>
    <row r="243" spans="1:39" s="27" customFormat="1" ht="33">
      <c r="A243" s="34" t="s">
        <v>876</v>
      </c>
      <c r="B243" s="34"/>
      <c r="C243" s="119" t="s">
        <v>1192</v>
      </c>
      <c r="D243" s="119"/>
      <c r="E243" s="121" t="s">
        <v>906</v>
      </c>
      <c r="F243" s="121"/>
      <c r="G243" s="132" t="s">
        <v>418</v>
      </c>
      <c r="H243" s="132" t="s">
        <v>520</v>
      </c>
      <c r="I243" s="132" t="s">
        <v>108</v>
      </c>
      <c r="J243" s="133" t="s">
        <v>419</v>
      </c>
      <c r="K243" s="134" t="s">
        <v>582</v>
      </c>
      <c r="L243" s="307">
        <f t="shared" si="37"/>
        <v>2645000</v>
      </c>
      <c r="M243" s="308"/>
      <c r="N243" s="308">
        <f>145000+2500000</f>
        <v>2645000</v>
      </c>
      <c r="O243" s="309"/>
      <c r="P243" s="309"/>
      <c r="Q243" s="309"/>
      <c r="R243" s="117"/>
      <c r="S243" s="70">
        <f t="shared" si="41"/>
        <v>2500000</v>
      </c>
      <c r="T243" s="70"/>
      <c r="U243" s="70">
        <v>145000</v>
      </c>
      <c r="V243" s="9" t="s">
        <v>521</v>
      </c>
      <c r="W243" s="19"/>
      <c r="X243" s="19">
        <v>145000</v>
      </c>
      <c r="Y243" s="67">
        <f t="shared" si="38"/>
        <v>2500000</v>
      </c>
      <c r="Z243" s="52"/>
      <c r="AA243" s="52"/>
      <c r="AB243" s="19"/>
      <c r="AC243" s="24">
        <f t="shared" si="40"/>
        <v>-2470000</v>
      </c>
      <c r="AD243" s="19"/>
      <c r="AE243" s="19"/>
      <c r="AF243" s="19"/>
      <c r="AG243" s="19"/>
      <c r="AH243" s="19"/>
      <c r="AI243" s="14"/>
      <c r="AJ243" s="139">
        <v>25</v>
      </c>
      <c r="AK243" s="135" t="s">
        <v>272</v>
      </c>
      <c r="AL243" s="136">
        <v>11397248</v>
      </c>
      <c r="AM243" s="138">
        <v>5</v>
      </c>
    </row>
    <row r="244" spans="1:39" s="27" customFormat="1" ht="66">
      <c r="A244" s="34" t="s">
        <v>876</v>
      </c>
      <c r="B244" s="34"/>
      <c r="C244" s="119" t="s">
        <v>1192</v>
      </c>
      <c r="D244" s="119"/>
      <c r="E244" s="121" t="s">
        <v>906</v>
      </c>
      <c r="F244" s="121"/>
      <c r="G244" s="132" t="s">
        <v>418</v>
      </c>
      <c r="H244" s="132" t="s">
        <v>520</v>
      </c>
      <c r="I244" s="132" t="s">
        <v>108</v>
      </c>
      <c r="J244" s="133" t="s">
        <v>419</v>
      </c>
      <c r="K244" s="134" t="s">
        <v>1290</v>
      </c>
      <c r="L244" s="307">
        <f t="shared" si="37"/>
        <v>175000</v>
      </c>
      <c r="M244" s="308"/>
      <c r="N244" s="308">
        <v>175000</v>
      </c>
      <c r="O244" s="309"/>
      <c r="P244" s="309"/>
      <c r="Q244" s="309"/>
      <c r="R244" s="84"/>
      <c r="S244" s="70">
        <f t="shared" si="41"/>
        <v>0</v>
      </c>
      <c r="T244" s="70"/>
      <c r="U244" s="70">
        <v>175000</v>
      </c>
      <c r="V244" s="9" t="s">
        <v>521</v>
      </c>
      <c r="W244" s="19"/>
      <c r="X244" s="19">
        <v>175000</v>
      </c>
      <c r="Y244" s="67">
        <f t="shared" si="38"/>
        <v>0</v>
      </c>
      <c r="Z244" s="52"/>
      <c r="AA244" s="52"/>
      <c r="AB244" s="19"/>
      <c r="AC244" s="24">
        <f t="shared" si="40"/>
        <v>2145000</v>
      </c>
      <c r="AD244" s="19"/>
      <c r="AE244" s="19"/>
      <c r="AF244" s="19"/>
      <c r="AG244" s="19"/>
      <c r="AH244" s="19"/>
      <c r="AI244" s="14"/>
      <c r="AJ244" s="139">
        <v>5</v>
      </c>
      <c r="AK244" s="135" t="s">
        <v>367</v>
      </c>
      <c r="AL244" s="136">
        <v>11130000</v>
      </c>
      <c r="AM244" s="138">
        <v>5</v>
      </c>
    </row>
    <row r="245" spans="1:39" s="27" customFormat="1" ht="33">
      <c r="A245" s="34" t="s">
        <v>876</v>
      </c>
      <c r="B245" s="34"/>
      <c r="C245" s="119" t="s">
        <v>1192</v>
      </c>
      <c r="D245" s="119"/>
      <c r="E245" s="121" t="s">
        <v>906</v>
      </c>
      <c r="F245" s="121"/>
      <c r="G245" s="132" t="s">
        <v>418</v>
      </c>
      <c r="H245" s="132" t="s">
        <v>520</v>
      </c>
      <c r="I245" s="132" t="s">
        <v>108</v>
      </c>
      <c r="J245" s="133" t="s">
        <v>419</v>
      </c>
      <c r="K245" s="134" t="s">
        <v>823</v>
      </c>
      <c r="L245" s="307">
        <f t="shared" si="37"/>
        <v>2320000</v>
      </c>
      <c r="M245" s="308"/>
      <c r="N245" s="308">
        <f>320000+2000000</f>
        <v>2320000</v>
      </c>
      <c r="O245" s="309"/>
      <c r="P245" s="309"/>
      <c r="Q245" s="309"/>
      <c r="R245" s="117"/>
      <c r="S245" s="70">
        <f t="shared" si="41"/>
        <v>2000000</v>
      </c>
      <c r="T245" s="70"/>
      <c r="U245" s="70">
        <v>320000</v>
      </c>
      <c r="V245" s="9" t="s">
        <v>521</v>
      </c>
      <c r="W245" s="19"/>
      <c r="X245" s="19">
        <v>320000</v>
      </c>
      <c r="Y245" s="67">
        <f t="shared" si="38"/>
        <v>2000000</v>
      </c>
      <c r="Z245" s="52"/>
      <c r="AA245" s="52"/>
      <c r="AB245" s="19"/>
      <c r="AC245" s="24">
        <f t="shared" si="40"/>
        <v>-2090000</v>
      </c>
      <c r="AD245" s="19"/>
      <c r="AE245" s="19"/>
      <c r="AF245" s="19"/>
      <c r="AG245" s="19"/>
      <c r="AH245" s="19"/>
      <c r="AI245" s="14"/>
      <c r="AJ245" s="139">
        <v>60</v>
      </c>
      <c r="AK245" s="135" t="s">
        <v>272</v>
      </c>
      <c r="AL245" s="136">
        <v>4000000</v>
      </c>
      <c r="AM245" s="138">
        <v>5</v>
      </c>
    </row>
    <row r="246" spans="1:39" s="27" customFormat="1" ht="33">
      <c r="A246" s="34" t="s">
        <v>876</v>
      </c>
      <c r="B246" s="34"/>
      <c r="C246" s="119" t="s">
        <v>1192</v>
      </c>
      <c r="D246" s="119"/>
      <c r="E246" s="121" t="s">
        <v>906</v>
      </c>
      <c r="F246" s="121"/>
      <c r="G246" s="132" t="s">
        <v>418</v>
      </c>
      <c r="H246" s="132" t="s">
        <v>520</v>
      </c>
      <c r="I246" s="132" t="s">
        <v>108</v>
      </c>
      <c r="J246" s="133" t="s">
        <v>419</v>
      </c>
      <c r="K246" s="134" t="s">
        <v>824</v>
      </c>
      <c r="L246" s="307">
        <f t="shared" si="37"/>
        <v>230000</v>
      </c>
      <c r="M246" s="308"/>
      <c r="N246" s="308">
        <v>230000</v>
      </c>
      <c r="O246" s="309"/>
      <c r="P246" s="309"/>
      <c r="Q246" s="309"/>
      <c r="R246" s="84"/>
      <c r="S246" s="70">
        <f t="shared" si="41"/>
        <v>0</v>
      </c>
      <c r="T246" s="70"/>
      <c r="U246" s="70">
        <v>230000</v>
      </c>
      <c r="V246" s="9" t="s">
        <v>521</v>
      </c>
      <c r="W246" s="19"/>
      <c r="X246" s="19">
        <v>230000</v>
      </c>
      <c r="Y246" s="67">
        <f t="shared" si="38"/>
        <v>0</v>
      </c>
      <c r="Z246" s="52"/>
      <c r="AA246" s="52"/>
      <c r="AB246" s="19"/>
      <c r="AC246" s="24">
        <f t="shared" si="40"/>
        <v>-175000</v>
      </c>
      <c r="AD246" s="19"/>
      <c r="AE246" s="19"/>
      <c r="AF246" s="19"/>
      <c r="AG246" s="19"/>
      <c r="AH246" s="19"/>
      <c r="AI246" s="14"/>
      <c r="AJ246" s="139">
        <v>5</v>
      </c>
      <c r="AK246" s="135" t="s">
        <v>272</v>
      </c>
      <c r="AL246" s="136">
        <v>4000000</v>
      </c>
      <c r="AM246" s="138">
        <v>5</v>
      </c>
    </row>
    <row r="247" spans="1:39" s="27" customFormat="1" ht="49.5">
      <c r="A247" s="34" t="s">
        <v>876</v>
      </c>
      <c r="B247" s="34"/>
      <c r="C247" s="119" t="s">
        <v>1192</v>
      </c>
      <c r="D247" s="119"/>
      <c r="E247" s="121" t="s">
        <v>906</v>
      </c>
      <c r="F247" s="121"/>
      <c r="G247" s="132" t="s">
        <v>418</v>
      </c>
      <c r="H247" s="132" t="s">
        <v>520</v>
      </c>
      <c r="I247" s="132" t="s">
        <v>108</v>
      </c>
      <c r="J247" s="133" t="s">
        <v>419</v>
      </c>
      <c r="K247" s="134" t="s">
        <v>583</v>
      </c>
      <c r="L247" s="307">
        <f t="shared" si="37"/>
        <v>55000</v>
      </c>
      <c r="M247" s="308"/>
      <c r="N247" s="308">
        <v>55000</v>
      </c>
      <c r="O247" s="309"/>
      <c r="P247" s="309"/>
      <c r="Q247" s="309"/>
      <c r="R247" s="84"/>
      <c r="S247" s="70">
        <f t="shared" si="41"/>
        <v>0</v>
      </c>
      <c r="T247" s="70"/>
      <c r="U247" s="70">
        <v>55000</v>
      </c>
      <c r="V247" s="9" t="s">
        <v>521</v>
      </c>
      <c r="W247" s="19"/>
      <c r="X247" s="19">
        <v>55000</v>
      </c>
      <c r="Y247" s="67">
        <f t="shared" si="38"/>
        <v>0</v>
      </c>
      <c r="Z247" s="52"/>
      <c r="AA247" s="52"/>
      <c r="AB247" s="19"/>
      <c r="AC247" s="24">
        <f t="shared" si="40"/>
        <v>-30000</v>
      </c>
      <c r="AD247" s="19"/>
      <c r="AE247" s="19"/>
      <c r="AF247" s="19"/>
      <c r="AG247" s="19"/>
      <c r="AH247" s="19"/>
      <c r="AI247" s="14"/>
      <c r="AJ247" s="139">
        <v>5</v>
      </c>
      <c r="AK247" s="135" t="s">
        <v>272</v>
      </c>
      <c r="AL247" s="136">
        <v>4000000</v>
      </c>
      <c r="AM247" s="138">
        <v>5</v>
      </c>
    </row>
    <row r="248" spans="1:39" s="27" customFormat="1" ht="33">
      <c r="A248" s="34" t="s">
        <v>876</v>
      </c>
      <c r="B248" s="34"/>
      <c r="C248" s="119" t="s">
        <v>1192</v>
      </c>
      <c r="D248" s="119"/>
      <c r="E248" s="121" t="s">
        <v>906</v>
      </c>
      <c r="F248" s="121"/>
      <c r="G248" s="132" t="s">
        <v>418</v>
      </c>
      <c r="H248" s="132" t="s">
        <v>520</v>
      </c>
      <c r="I248" s="132" t="s">
        <v>108</v>
      </c>
      <c r="J248" s="133" t="s">
        <v>419</v>
      </c>
      <c r="K248" s="134" t="s">
        <v>825</v>
      </c>
      <c r="L248" s="307">
        <f t="shared" si="37"/>
        <v>25000</v>
      </c>
      <c r="M248" s="308"/>
      <c r="N248" s="308">
        <v>25000</v>
      </c>
      <c r="O248" s="309"/>
      <c r="P248" s="309"/>
      <c r="Q248" s="309"/>
      <c r="R248" s="84"/>
      <c r="S248" s="70">
        <f t="shared" si="41"/>
        <v>0</v>
      </c>
      <c r="T248" s="70"/>
      <c r="U248" s="70">
        <v>25000</v>
      </c>
      <c r="V248" s="9" t="s">
        <v>521</v>
      </c>
      <c r="W248" s="19"/>
      <c r="X248" s="19">
        <v>25000</v>
      </c>
      <c r="Y248" s="67">
        <f t="shared" si="38"/>
        <v>0</v>
      </c>
      <c r="Z248" s="52"/>
      <c r="AA248" s="52"/>
      <c r="AB248" s="19"/>
      <c r="AC248" s="24">
        <f t="shared" si="40"/>
        <v>55000</v>
      </c>
      <c r="AD248" s="19"/>
      <c r="AE248" s="19"/>
      <c r="AF248" s="19"/>
      <c r="AG248" s="19"/>
      <c r="AH248" s="19"/>
      <c r="AI248" s="14"/>
      <c r="AJ248" s="139">
        <v>5</v>
      </c>
      <c r="AK248" s="135" t="s">
        <v>272</v>
      </c>
      <c r="AL248" s="136">
        <v>4000000</v>
      </c>
      <c r="AM248" s="138">
        <v>5</v>
      </c>
    </row>
    <row r="249" spans="1:39" s="27" customFormat="1" ht="49.5">
      <c r="A249" s="34" t="s">
        <v>876</v>
      </c>
      <c r="B249" s="34"/>
      <c r="C249" s="119" t="s">
        <v>1192</v>
      </c>
      <c r="D249" s="119"/>
      <c r="E249" s="121" t="s">
        <v>906</v>
      </c>
      <c r="F249" s="121"/>
      <c r="G249" s="132" t="s">
        <v>418</v>
      </c>
      <c r="H249" s="132" t="s">
        <v>520</v>
      </c>
      <c r="I249" s="132" t="s">
        <v>108</v>
      </c>
      <c r="J249" s="133" t="s">
        <v>419</v>
      </c>
      <c r="K249" s="134" t="s">
        <v>991</v>
      </c>
      <c r="L249" s="307">
        <f t="shared" si="37"/>
        <v>80000</v>
      </c>
      <c r="M249" s="308"/>
      <c r="N249" s="308">
        <v>80000</v>
      </c>
      <c r="O249" s="309"/>
      <c r="P249" s="309"/>
      <c r="Q249" s="309"/>
      <c r="R249" s="84"/>
      <c r="S249" s="70">
        <f t="shared" si="41"/>
        <v>0</v>
      </c>
      <c r="T249" s="70"/>
      <c r="U249" s="70">
        <v>80000</v>
      </c>
      <c r="V249" s="9" t="s">
        <v>521</v>
      </c>
      <c r="W249" s="19"/>
      <c r="X249" s="19">
        <v>80000</v>
      </c>
      <c r="Y249" s="67">
        <f t="shared" si="38"/>
        <v>0</v>
      </c>
      <c r="Z249" s="52"/>
      <c r="AA249" s="52"/>
      <c r="AB249" s="19"/>
      <c r="AC249" s="24">
        <f t="shared" si="40"/>
        <v>-40000</v>
      </c>
      <c r="AD249" s="19"/>
      <c r="AE249" s="19"/>
      <c r="AF249" s="19"/>
      <c r="AG249" s="19"/>
      <c r="AH249" s="19"/>
      <c r="AI249" s="14"/>
      <c r="AJ249" s="139">
        <v>5</v>
      </c>
      <c r="AK249" s="135" t="s">
        <v>272</v>
      </c>
      <c r="AL249" s="136">
        <v>4000000</v>
      </c>
      <c r="AM249" s="138">
        <v>5</v>
      </c>
    </row>
    <row r="250" spans="1:39" s="27" customFormat="1" ht="49.5">
      <c r="A250" s="34" t="s">
        <v>876</v>
      </c>
      <c r="B250" s="34"/>
      <c r="C250" s="119" t="s">
        <v>1192</v>
      </c>
      <c r="D250" s="119"/>
      <c r="E250" s="121" t="s">
        <v>906</v>
      </c>
      <c r="F250" s="121"/>
      <c r="G250" s="132" t="s">
        <v>418</v>
      </c>
      <c r="H250" s="132" t="s">
        <v>520</v>
      </c>
      <c r="I250" s="132" t="s">
        <v>108</v>
      </c>
      <c r="J250" s="133" t="s">
        <v>419</v>
      </c>
      <c r="K250" s="134" t="s">
        <v>826</v>
      </c>
      <c r="L250" s="307">
        <f t="shared" si="37"/>
        <v>40000</v>
      </c>
      <c r="M250" s="308"/>
      <c r="N250" s="308">
        <v>40000</v>
      </c>
      <c r="O250" s="309"/>
      <c r="P250" s="309"/>
      <c r="Q250" s="309"/>
      <c r="R250" s="84"/>
      <c r="S250" s="70">
        <f t="shared" si="41"/>
        <v>0</v>
      </c>
      <c r="T250" s="70"/>
      <c r="U250" s="70">
        <v>40000</v>
      </c>
      <c r="V250" s="9" t="s">
        <v>521</v>
      </c>
      <c r="W250" s="19"/>
      <c r="X250" s="19">
        <v>40000</v>
      </c>
      <c r="Y250" s="67">
        <f t="shared" si="38"/>
        <v>0</v>
      </c>
      <c r="Z250" s="52"/>
      <c r="AA250" s="52"/>
      <c r="AB250" s="19"/>
      <c r="AC250" s="24">
        <f t="shared" si="40"/>
        <v>137000</v>
      </c>
      <c r="AD250" s="19"/>
      <c r="AE250" s="19"/>
      <c r="AF250" s="19"/>
      <c r="AG250" s="19"/>
      <c r="AH250" s="19"/>
      <c r="AI250" s="14"/>
      <c r="AJ250" s="139">
        <v>5</v>
      </c>
      <c r="AK250" s="135" t="s">
        <v>272</v>
      </c>
      <c r="AL250" s="136">
        <v>3000000</v>
      </c>
      <c r="AM250" s="138">
        <v>5</v>
      </c>
    </row>
    <row r="251" spans="1:39" s="27" customFormat="1" ht="66">
      <c r="A251" s="34" t="s">
        <v>876</v>
      </c>
      <c r="B251" s="34"/>
      <c r="C251" s="119" t="s">
        <v>1192</v>
      </c>
      <c r="D251" s="119"/>
      <c r="E251" s="121" t="s">
        <v>903</v>
      </c>
      <c r="F251" s="121"/>
      <c r="G251" s="132" t="s">
        <v>418</v>
      </c>
      <c r="H251" s="132" t="s">
        <v>520</v>
      </c>
      <c r="I251" s="132" t="s">
        <v>108</v>
      </c>
      <c r="J251" s="133" t="s">
        <v>419</v>
      </c>
      <c r="K251" s="134" t="s">
        <v>1255</v>
      </c>
      <c r="L251" s="307">
        <f t="shared" si="37"/>
        <v>177000</v>
      </c>
      <c r="M251" s="308"/>
      <c r="N251" s="308">
        <v>177000</v>
      </c>
      <c r="O251" s="309"/>
      <c r="P251" s="309"/>
      <c r="Q251" s="309"/>
      <c r="R251" s="84"/>
      <c r="S251" s="70">
        <f t="shared" si="41"/>
        <v>0</v>
      </c>
      <c r="T251" s="70"/>
      <c r="U251" s="70">
        <v>177000</v>
      </c>
      <c r="V251" s="9" t="s">
        <v>521</v>
      </c>
      <c r="W251" s="19"/>
      <c r="X251" s="19">
        <v>177000</v>
      </c>
      <c r="Y251" s="67">
        <f t="shared" si="38"/>
        <v>0</v>
      </c>
      <c r="Z251" s="52"/>
      <c r="AA251" s="52"/>
      <c r="AB251" s="19"/>
      <c r="AC251" s="24">
        <f t="shared" si="40"/>
        <v>-22000</v>
      </c>
      <c r="AD251" s="19"/>
      <c r="AE251" s="19"/>
      <c r="AF251" s="19"/>
      <c r="AG251" s="19"/>
      <c r="AH251" s="19"/>
      <c r="AI251" s="14"/>
      <c r="AJ251" s="139">
        <v>15</v>
      </c>
      <c r="AK251" s="135" t="s">
        <v>272</v>
      </c>
      <c r="AL251" s="136">
        <v>1901000</v>
      </c>
      <c r="AM251" s="138">
        <v>10</v>
      </c>
    </row>
    <row r="252" spans="1:39" s="27" customFormat="1" ht="49.5">
      <c r="A252" s="34" t="s">
        <v>876</v>
      </c>
      <c r="B252" s="34"/>
      <c r="C252" s="119" t="s">
        <v>1192</v>
      </c>
      <c r="D252" s="119"/>
      <c r="E252" s="121" t="s">
        <v>903</v>
      </c>
      <c r="F252" s="121"/>
      <c r="G252" s="132" t="s">
        <v>418</v>
      </c>
      <c r="H252" s="132" t="s">
        <v>520</v>
      </c>
      <c r="I252" s="132" t="s">
        <v>108</v>
      </c>
      <c r="J252" s="133" t="s">
        <v>419</v>
      </c>
      <c r="K252" s="134" t="s">
        <v>1087</v>
      </c>
      <c r="L252" s="307">
        <f t="shared" si="37"/>
        <v>155000</v>
      </c>
      <c r="M252" s="308"/>
      <c r="N252" s="308">
        <v>155000</v>
      </c>
      <c r="O252" s="309"/>
      <c r="P252" s="309"/>
      <c r="Q252" s="309"/>
      <c r="R252" s="84"/>
      <c r="S252" s="70">
        <f t="shared" si="41"/>
        <v>0</v>
      </c>
      <c r="T252" s="70"/>
      <c r="U252" s="70">
        <v>155000</v>
      </c>
      <c r="V252" s="9" t="s">
        <v>521</v>
      </c>
      <c r="W252" s="19"/>
      <c r="X252" s="19">
        <v>155000</v>
      </c>
      <c r="Y252" s="67">
        <f t="shared" si="38"/>
        <v>0</v>
      </c>
      <c r="Z252" s="52"/>
      <c r="AA252" s="52"/>
      <c r="AB252" s="19"/>
      <c r="AC252" s="24">
        <f t="shared" si="40"/>
        <v>-110000</v>
      </c>
      <c r="AD252" s="19"/>
      <c r="AE252" s="19"/>
      <c r="AF252" s="19"/>
      <c r="AG252" s="19"/>
      <c r="AH252" s="19"/>
      <c r="AI252" s="14"/>
      <c r="AJ252" s="139">
        <v>5</v>
      </c>
      <c r="AK252" s="135" t="s">
        <v>272</v>
      </c>
      <c r="AL252" s="136">
        <v>1000000</v>
      </c>
      <c r="AM252" s="138">
        <v>5</v>
      </c>
    </row>
    <row r="253" spans="1:39" s="27" customFormat="1" ht="49.5">
      <c r="A253" s="34" t="s">
        <v>876</v>
      </c>
      <c r="B253" s="34"/>
      <c r="C253" s="119" t="s">
        <v>1192</v>
      </c>
      <c r="D253" s="119"/>
      <c r="E253" s="121" t="s">
        <v>903</v>
      </c>
      <c r="F253" s="121"/>
      <c r="G253" s="132" t="s">
        <v>418</v>
      </c>
      <c r="H253" s="132" t="s">
        <v>520</v>
      </c>
      <c r="I253" s="132" t="s">
        <v>108</v>
      </c>
      <c r="J253" s="133" t="s">
        <v>419</v>
      </c>
      <c r="K253" s="134" t="s">
        <v>827</v>
      </c>
      <c r="L253" s="307">
        <f t="shared" si="37"/>
        <v>45000</v>
      </c>
      <c r="M253" s="308"/>
      <c r="N253" s="308">
        <v>45000</v>
      </c>
      <c r="O253" s="309"/>
      <c r="P253" s="309"/>
      <c r="Q253" s="309"/>
      <c r="R253" s="84"/>
      <c r="S253" s="70">
        <f t="shared" si="41"/>
        <v>0</v>
      </c>
      <c r="T253" s="70"/>
      <c r="U253" s="70">
        <v>45000</v>
      </c>
      <c r="V253" s="9" t="s">
        <v>521</v>
      </c>
      <c r="W253" s="19"/>
      <c r="X253" s="19">
        <v>45000</v>
      </c>
      <c r="Y253" s="67">
        <f t="shared" si="38"/>
        <v>0</v>
      </c>
      <c r="Z253" s="52"/>
      <c r="AA253" s="52"/>
      <c r="AB253" s="19"/>
      <c r="AC253" s="24">
        <f t="shared" si="40"/>
        <v>0</v>
      </c>
      <c r="AD253" s="19"/>
      <c r="AE253" s="19"/>
      <c r="AF253" s="19"/>
      <c r="AG253" s="19"/>
      <c r="AH253" s="19"/>
      <c r="AI253" s="14"/>
      <c r="AJ253" s="139">
        <v>5</v>
      </c>
      <c r="AK253" s="135" t="s">
        <v>272</v>
      </c>
      <c r="AL253" s="136">
        <v>1000000</v>
      </c>
      <c r="AM253" s="138">
        <v>5</v>
      </c>
    </row>
    <row r="254" spans="1:39" s="27" customFormat="1" ht="33">
      <c r="A254" s="34" t="s">
        <v>876</v>
      </c>
      <c r="B254" s="34"/>
      <c r="C254" s="119" t="s">
        <v>1192</v>
      </c>
      <c r="D254" s="119"/>
      <c r="E254" s="121" t="s">
        <v>903</v>
      </c>
      <c r="F254" s="121"/>
      <c r="G254" s="132" t="s">
        <v>418</v>
      </c>
      <c r="H254" s="132" t="s">
        <v>520</v>
      </c>
      <c r="I254" s="132" t="s">
        <v>108</v>
      </c>
      <c r="J254" s="133" t="s">
        <v>419</v>
      </c>
      <c r="K254" s="134" t="s">
        <v>1132</v>
      </c>
      <c r="L254" s="307">
        <f t="shared" si="37"/>
        <v>45000</v>
      </c>
      <c r="M254" s="308"/>
      <c r="N254" s="308">
        <v>45000</v>
      </c>
      <c r="O254" s="309"/>
      <c r="P254" s="309"/>
      <c r="Q254" s="309"/>
      <c r="R254" s="84"/>
      <c r="S254" s="70">
        <f t="shared" si="41"/>
        <v>0</v>
      </c>
      <c r="T254" s="70"/>
      <c r="U254" s="70">
        <v>45000</v>
      </c>
      <c r="V254" s="9" t="s">
        <v>521</v>
      </c>
      <c r="W254" s="19"/>
      <c r="X254" s="19">
        <v>45000</v>
      </c>
      <c r="Y254" s="67">
        <f t="shared" si="38"/>
        <v>0</v>
      </c>
      <c r="Z254" s="52"/>
      <c r="AA254" s="52"/>
      <c r="AB254" s="19"/>
      <c r="AC254" s="24">
        <f t="shared" si="40"/>
        <v>0</v>
      </c>
      <c r="AD254" s="19"/>
      <c r="AE254" s="19"/>
      <c r="AF254" s="19"/>
      <c r="AG254" s="19"/>
      <c r="AH254" s="19"/>
      <c r="AI254" s="14"/>
      <c r="AJ254" s="139">
        <v>5</v>
      </c>
      <c r="AK254" s="135" t="s">
        <v>272</v>
      </c>
      <c r="AL254" s="136">
        <v>1000000</v>
      </c>
      <c r="AM254" s="138">
        <v>5</v>
      </c>
    </row>
    <row r="255" spans="1:39" s="27" customFormat="1" ht="49.5">
      <c r="A255" s="34" t="s">
        <v>876</v>
      </c>
      <c r="B255" s="34"/>
      <c r="C255" s="119" t="s">
        <v>1192</v>
      </c>
      <c r="D255" s="119"/>
      <c r="E255" s="121" t="s">
        <v>903</v>
      </c>
      <c r="F255" s="121"/>
      <c r="G255" s="132" t="s">
        <v>418</v>
      </c>
      <c r="H255" s="132" t="s">
        <v>520</v>
      </c>
      <c r="I255" s="132" t="s">
        <v>108</v>
      </c>
      <c r="J255" s="133" t="s">
        <v>419</v>
      </c>
      <c r="K255" s="134" t="s">
        <v>828</v>
      </c>
      <c r="L255" s="307">
        <f t="shared" si="37"/>
        <v>45000</v>
      </c>
      <c r="M255" s="308"/>
      <c r="N255" s="308">
        <v>45000</v>
      </c>
      <c r="O255" s="309"/>
      <c r="P255" s="309"/>
      <c r="Q255" s="309"/>
      <c r="R255" s="84"/>
      <c r="S255" s="70">
        <f t="shared" si="41"/>
        <v>0</v>
      </c>
      <c r="T255" s="70"/>
      <c r="U255" s="70">
        <v>45000</v>
      </c>
      <c r="V255" s="9" t="s">
        <v>521</v>
      </c>
      <c r="W255" s="19"/>
      <c r="X255" s="19">
        <v>45000</v>
      </c>
      <c r="Y255" s="67">
        <f t="shared" si="38"/>
        <v>0</v>
      </c>
      <c r="Z255" s="52"/>
      <c r="AA255" s="52"/>
      <c r="AB255" s="19"/>
      <c r="AC255" s="24">
        <f t="shared" si="40"/>
        <v>2955000</v>
      </c>
      <c r="AD255" s="19"/>
      <c r="AE255" s="19"/>
      <c r="AF255" s="19"/>
      <c r="AG255" s="19"/>
      <c r="AH255" s="19"/>
      <c r="AI255" s="14"/>
      <c r="AJ255" s="139">
        <v>5</v>
      </c>
      <c r="AK255" s="135" t="s">
        <v>272</v>
      </c>
      <c r="AL255" s="136">
        <v>1000000</v>
      </c>
      <c r="AM255" s="138">
        <v>5</v>
      </c>
    </row>
    <row r="256" spans="1:39" s="27" customFormat="1" ht="66">
      <c r="A256" s="34" t="s">
        <v>876</v>
      </c>
      <c r="B256" s="34"/>
      <c r="C256" s="119" t="s">
        <v>1192</v>
      </c>
      <c r="D256" s="119"/>
      <c r="E256" s="121" t="s">
        <v>906</v>
      </c>
      <c r="F256" s="121"/>
      <c r="G256" s="132" t="s">
        <v>418</v>
      </c>
      <c r="H256" s="132" t="s">
        <v>520</v>
      </c>
      <c r="I256" s="132" t="s">
        <v>108</v>
      </c>
      <c r="J256" s="133" t="s">
        <v>419</v>
      </c>
      <c r="K256" s="134" t="s">
        <v>765</v>
      </c>
      <c r="L256" s="307">
        <f t="shared" si="37"/>
        <v>3000000</v>
      </c>
      <c r="M256" s="308"/>
      <c r="N256" s="308">
        <v>3000000</v>
      </c>
      <c r="O256" s="309"/>
      <c r="P256" s="309"/>
      <c r="Q256" s="309"/>
      <c r="R256" s="84"/>
      <c r="S256" s="70">
        <f t="shared" si="41"/>
        <v>0</v>
      </c>
      <c r="T256" s="70"/>
      <c r="U256" s="70">
        <v>3000000</v>
      </c>
      <c r="V256" s="9" t="s">
        <v>521</v>
      </c>
      <c r="W256" s="19"/>
      <c r="X256" s="19">
        <v>1000000</v>
      </c>
      <c r="Y256" s="67">
        <f t="shared" si="38"/>
        <v>2000000</v>
      </c>
      <c r="Z256" s="52"/>
      <c r="AA256" s="52"/>
      <c r="AB256" s="19"/>
      <c r="AC256" s="24">
        <f t="shared" si="40"/>
        <v>-2695219.36</v>
      </c>
      <c r="AD256" s="19"/>
      <c r="AE256" s="19"/>
      <c r="AF256" s="19"/>
      <c r="AG256" s="19"/>
      <c r="AH256" s="19"/>
      <c r="AI256" s="14"/>
      <c r="AJ256" s="139">
        <v>75</v>
      </c>
      <c r="AK256" s="135" t="s">
        <v>352</v>
      </c>
      <c r="AL256" s="136">
        <v>26068295</v>
      </c>
      <c r="AM256" s="138">
        <v>50</v>
      </c>
    </row>
    <row r="257" spans="1:39" s="27" customFormat="1" ht="33">
      <c r="A257" s="34" t="s">
        <v>876</v>
      </c>
      <c r="B257" s="34"/>
      <c r="C257" s="119" t="s">
        <v>1192</v>
      </c>
      <c r="D257" s="119"/>
      <c r="E257" s="121" t="s">
        <v>902</v>
      </c>
      <c r="F257" s="121"/>
      <c r="G257" s="132" t="s">
        <v>418</v>
      </c>
      <c r="H257" s="132" t="s">
        <v>520</v>
      </c>
      <c r="I257" s="132" t="s">
        <v>108</v>
      </c>
      <c r="J257" s="133" t="s">
        <v>419</v>
      </c>
      <c r="K257" s="134" t="s">
        <v>584</v>
      </c>
      <c r="L257" s="307">
        <f t="shared" si="37"/>
        <v>304780.64</v>
      </c>
      <c r="M257" s="308"/>
      <c r="N257" s="308">
        <v>304780.64</v>
      </c>
      <c r="O257" s="309"/>
      <c r="P257" s="309"/>
      <c r="Q257" s="309"/>
      <c r="R257" s="84"/>
      <c r="S257" s="70">
        <f t="shared" si="41"/>
        <v>0</v>
      </c>
      <c r="T257" s="70"/>
      <c r="U257" s="70">
        <v>304780.64</v>
      </c>
      <c r="V257" s="9" t="s">
        <v>521</v>
      </c>
      <c r="W257" s="19"/>
      <c r="X257" s="19"/>
      <c r="Y257" s="67">
        <f t="shared" si="38"/>
        <v>304780.64</v>
      </c>
      <c r="Z257" s="52"/>
      <c r="AA257" s="52"/>
      <c r="AB257" s="19"/>
      <c r="AC257" s="24">
        <f t="shared" si="40"/>
        <v>944753.79999999993</v>
      </c>
      <c r="AD257" s="19"/>
      <c r="AE257" s="19"/>
      <c r="AF257" s="19"/>
      <c r="AG257" s="19"/>
      <c r="AH257" s="19"/>
      <c r="AI257" s="14"/>
      <c r="AJ257" s="139">
        <v>100</v>
      </c>
      <c r="AK257" s="135" t="s">
        <v>347</v>
      </c>
      <c r="AL257" s="136">
        <v>2455781</v>
      </c>
      <c r="AM257" s="138">
        <v>70</v>
      </c>
    </row>
    <row r="258" spans="1:39" s="27" customFormat="1" ht="33">
      <c r="A258" s="34" t="s">
        <v>876</v>
      </c>
      <c r="B258" s="34"/>
      <c r="C258" s="119" t="s">
        <v>1192</v>
      </c>
      <c r="D258" s="119"/>
      <c r="E258" s="121" t="s">
        <v>905</v>
      </c>
      <c r="F258" s="121"/>
      <c r="G258" s="132" t="s">
        <v>418</v>
      </c>
      <c r="H258" s="132" t="s">
        <v>520</v>
      </c>
      <c r="I258" s="132" t="s">
        <v>108</v>
      </c>
      <c r="J258" s="133" t="s">
        <v>419</v>
      </c>
      <c r="K258" s="134" t="s">
        <v>585</v>
      </c>
      <c r="L258" s="307">
        <f t="shared" si="37"/>
        <v>1249534.44</v>
      </c>
      <c r="M258" s="308"/>
      <c r="N258" s="308">
        <v>1249534.44</v>
      </c>
      <c r="O258" s="309"/>
      <c r="P258" s="309"/>
      <c r="Q258" s="309"/>
      <c r="R258" s="84"/>
      <c r="S258" s="70">
        <f t="shared" si="41"/>
        <v>0</v>
      </c>
      <c r="T258" s="70"/>
      <c r="U258" s="70">
        <v>1249534.44</v>
      </c>
      <c r="V258" s="9" t="s">
        <v>521</v>
      </c>
      <c r="W258" s="19"/>
      <c r="X258" s="19">
        <v>249534.44</v>
      </c>
      <c r="Y258" s="67">
        <f t="shared" si="38"/>
        <v>1000000</v>
      </c>
      <c r="Z258" s="52"/>
      <c r="AA258" s="52"/>
      <c r="AB258" s="19"/>
      <c r="AC258" s="24">
        <f t="shared" si="40"/>
        <v>-515083.35</v>
      </c>
      <c r="AD258" s="19"/>
      <c r="AE258" s="19"/>
      <c r="AF258" s="19"/>
      <c r="AG258" s="19"/>
      <c r="AH258" s="19"/>
      <c r="AI258" s="14"/>
      <c r="AJ258" s="139">
        <v>100</v>
      </c>
      <c r="AK258" s="135" t="s">
        <v>347</v>
      </c>
      <c r="AL258" s="136">
        <v>2478320</v>
      </c>
      <c r="AM258" s="138">
        <v>60</v>
      </c>
    </row>
    <row r="259" spans="1:39" s="27" customFormat="1" ht="33">
      <c r="A259" s="34" t="s">
        <v>876</v>
      </c>
      <c r="B259" s="34"/>
      <c r="C259" s="119" t="s">
        <v>1192</v>
      </c>
      <c r="D259" s="119"/>
      <c r="E259" s="121" t="s">
        <v>905</v>
      </c>
      <c r="F259" s="121"/>
      <c r="G259" s="132" t="s">
        <v>418</v>
      </c>
      <c r="H259" s="132" t="s">
        <v>520</v>
      </c>
      <c r="I259" s="132" t="s">
        <v>108</v>
      </c>
      <c r="J259" s="133" t="s">
        <v>419</v>
      </c>
      <c r="K259" s="134" t="s">
        <v>586</v>
      </c>
      <c r="L259" s="307">
        <f t="shared" ref="L259:L322" si="42">SUM(M259:Q259)</f>
        <v>734451.09</v>
      </c>
      <c r="M259" s="308"/>
      <c r="N259" s="308">
        <v>734451.09</v>
      </c>
      <c r="O259" s="309"/>
      <c r="P259" s="309"/>
      <c r="Q259" s="309"/>
      <c r="R259" s="84"/>
      <c r="S259" s="70">
        <f t="shared" si="41"/>
        <v>0</v>
      </c>
      <c r="T259" s="70"/>
      <c r="U259" s="70">
        <v>734451.09</v>
      </c>
      <c r="V259" s="9" t="s">
        <v>521</v>
      </c>
      <c r="W259" s="19"/>
      <c r="X259" s="19">
        <v>639868.43999999994</v>
      </c>
      <c r="Y259" s="67">
        <f t="shared" si="38"/>
        <v>94582.650000000023</v>
      </c>
      <c r="Z259" s="52"/>
      <c r="AA259" s="52"/>
      <c r="AB259" s="19"/>
      <c r="AC259" s="24">
        <f t="shared" si="40"/>
        <v>542665.09</v>
      </c>
      <c r="AD259" s="19"/>
      <c r="AE259" s="19"/>
      <c r="AF259" s="19"/>
      <c r="AG259" s="19"/>
      <c r="AH259" s="19"/>
      <c r="AI259" s="14"/>
      <c r="AJ259" s="139">
        <v>100</v>
      </c>
      <c r="AK259" s="135" t="s">
        <v>413</v>
      </c>
      <c r="AL259" s="136">
        <v>8289902</v>
      </c>
      <c r="AM259" s="138">
        <v>70</v>
      </c>
    </row>
    <row r="260" spans="1:39" s="27" customFormat="1" ht="49.5">
      <c r="A260" s="34" t="s">
        <v>876</v>
      </c>
      <c r="B260" s="34"/>
      <c r="C260" s="119" t="s">
        <v>1192</v>
      </c>
      <c r="D260" s="119"/>
      <c r="E260" s="121" t="s">
        <v>905</v>
      </c>
      <c r="F260" s="121"/>
      <c r="G260" s="132" t="s">
        <v>418</v>
      </c>
      <c r="H260" s="132" t="s">
        <v>520</v>
      </c>
      <c r="I260" s="132" t="s">
        <v>108</v>
      </c>
      <c r="J260" s="133" t="s">
        <v>419</v>
      </c>
      <c r="K260" s="134" t="s">
        <v>829</v>
      </c>
      <c r="L260" s="307">
        <f t="shared" si="42"/>
        <v>1277116.18</v>
      </c>
      <c r="M260" s="308"/>
      <c r="N260" s="308">
        <v>1277116.18</v>
      </c>
      <c r="O260" s="309"/>
      <c r="P260" s="309"/>
      <c r="Q260" s="309"/>
      <c r="R260" s="84"/>
      <c r="S260" s="70">
        <f t="shared" si="41"/>
        <v>0</v>
      </c>
      <c r="T260" s="70"/>
      <c r="U260" s="70">
        <v>1277116.18</v>
      </c>
      <c r="V260" s="9" t="s">
        <v>521</v>
      </c>
      <c r="W260" s="19" t="s">
        <v>273</v>
      </c>
      <c r="X260" s="19">
        <v>1000000</v>
      </c>
      <c r="Y260" s="67">
        <f t="shared" si="38"/>
        <v>277116.17999999993</v>
      </c>
      <c r="Z260" s="52"/>
      <c r="AA260" s="52"/>
      <c r="AB260" s="19"/>
      <c r="AC260" s="24">
        <f t="shared" si="40"/>
        <v>1522883.82</v>
      </c>
      <c r="AD260" s="19"/>
      <c r="AE260" s="19"/>
      <c r="AF260" s="19"/>
      <c r="AG260" s="19"/>
      <c r="AH260" s="19"/>
      <c r="AI260" s="14"/>
      <c r="AJ260" s="139">
        <v>100</v>
      </c>
      <c r="AK260" s="135" t="s">
        <v>271</v>
      </c>
      <c r="AL260" s="136">
        <v>1461095</v>
      </c>
      <c r="AM260" s="138">
        <v>95</v>
      </c>
    </row>
    <row r="261" spans="1:39" s="27" customFormat="1" ht="49.5">
      <c r="A261" s="34" t="s">
        <v>876</v>
      </c>
      <c r="B261" s="34"/>
      <c r="C261" s="119" t="s">
        <v>1192</v>
      </c>
      <c r="D261" s="119"/>
      <c r="E261" s="121" t="s">
        <v>905</v>
      </c>
      <c r="F261" s="121"/>
      <c r="G261" s="132" t="s">
        <v>418</v>
      </c>
      <c r="H261" s="132" t="s">
        <v>520</v>
      </c>
      <c r="I261" s="132" t="s">
        <v>108</v>
      </c>
      <c r="J261" s="133" t="s">
        <v>419</v>
      </c>
      <c r="K261" s="134" t="s">
        <v>1256</v>
      </c>
      <c r="L261" s="307">
        <f t="shared" si="42"/>
        <v>2800000</v>
      </c>
      <c r="M261" s="308"/>
      <c r="N261" s="308">
        <f>1500000+1300000</f>
        <v>2800000</v>
      </c>
      <c r="O261" s="309"/>
      <c r="P261" s="309"/>
      <c r="Q261" s="309"/>
      <c r="R261" s="117"/>
      <c r="S261" s="70">
        <f t="shared" si="41"/>
        <v>1300000</v>
      </c>
      <c r="T261" s="70"/>
      <c r="U261" s="70">
        <v>1500000</v>
      </c>
      <c r="V261" s="9" t="s">
        <v>521</v>
      </c>
      <c r="W261" s="19"/>
      <c r="X261" s="19"/>
      <c r="Y261" s="67">
        <f t="shared" si="38"/>
        <v>2800000</v>
      </c>
      <c r="Z261" s="52"/>
      <c r="AA261" s="52"/>
      <c r="AB261" s="19"/>
      <c r="AC261" s="24">
        <f t="shared" si="40"/>
        <v>-1300000</v>
      </c>
      <c r="AD261" s="19"/>
      <c r="AE261" s="19"/>
      <c r="AF261" s="19"/>
      <c r="AG261" s="19"/>
      <c r="AH261" s="19"/>
      <c r="AI261" s="14"/>
      <c r="AJ261" s="139">
        <v>90</v>
      </c>
      <c r="AK261" s="135" t="s">
        <v>413</v>
      </c>
      <c r="AL261" s="136">
        <v>11338788</v>
      </c>
      <c r="AM261" s="138">
        <v>70</v>
      </c>
    </row>
    <row r="262" spans="1:39" s="27" customFormat="1" ht="49.5">
      <c r="A262" s="34" t="s">
        <v>876</v>
      </c>
      <c r="B262" s="34"/>
      <c r="C262" s="119" t="s">
        <v>1192</v>
      </c>
      <c r="D262" s="119"/>
      <c r="E262" s="121" t="s">
        <v>902</v>
      </c>
      <c r="F262" s="121"/>
      <c r="G262" s="132" t="s">
        <v>418</v>
      </c>
      <c r="H262" s="132" t="s">
        <v>520</v>
      </c>
      <c r="I262" s="132" t="s">
        <v>108</v>
      </c>
      <c r="J262" s="133" t="s">
        <v>419</v>
      </c>
      <c r="K262" s="134" t="s">
        <v>1233</v>
      </c>
      <c r="L262" s="307">
        <f t="shared" si="42"/>
        <v>1500000</v>
      </c>
      <c r="M262" s="308"/>
      <c r="N262" s="308">
        <v>1500000</v>
      </c>
      <c r="O262" s="309"/>
      <c r="P262" s="309"/>
      <c r="Q262" s="309"/>
      <c r="R262" s="84"/>
      <c r="S262" s="70">
        <f t="shared" si="41"/>
        <v>0</v>
      </c>
      <c r="T262" s="70"/>
      <c r="U262" s="70">
        <v>1500000</v>
      </c>
      <c r="V262" s="9" t="s">
        <v>521</v>
      </c>
      <c r="W262" s="19"/>
      <c r="X262" s="19">
        <v>500000</v>
      </c>
      <c r="Y262" s="67">
        <f t="shared" si="38"/>
        <v>1000000</v>
      </c>
      <c r="Z262" s="52"/>
      <c r="AA262" s="52"/>
      <c r="AB262" s="19"/>
      <c r="AC262" s="24">
        <f t="shared" ref="AC262:AC293" si="43">X263+Y263+AB262-N262</f>
        <v>500000</v>
      </c>
      <c r="AD262" s="19"/>
      <c r="AE262" s="19"/>
      <c r="AF262" s="19"/>
      <c r="AG262" s="19"/>
      <c r="AH262" s="19"/>
      <c r="AI262" s="14"/>
      <c r="AJ262" s="139">
        <v>25</v>
      </c>
      <c r="AK262" s="135" t="s">
        <v>272</v>
      </c>
      <c r="AL262" s="136">
        <v>8875416</v>
      </c>
      <c r="AM262" s="138">
        <v>20</v>
      </c>
    </row>
    <row r="263" spans="1:39" s="27" customFormat="1" ht="33">
      <c r="A263" s="34" t="s">
        <v>876</v>
      </c>
      <c r="B263" s="34"/>
      <c r="C263" s="119" t="s">
        <v>1192</v>
      </c>
      <c r="D263" s="119"/>
      <c r="E263" s="121" t="s">
        <v>902</v>
      </c>
      <c r="F263" s="121"/>
      <c r="G263" s="132" t="s">
        <v>418</v>
      </c>
      <c r="H263" s="132" t="s">
        <v>520</v>
      </c>
      <c r="I263" s="132" t="s">
        <v>108</v>
      </c>
      <c r="J263" s="133" t="s">
        <v>419</v>
      </c>
      <c r="K263" s="134" t="s">
        <v>830</v>
      </c>
      <c r="L263" s="307">
        <f t="shared" si="42"/>
        <v>2000000</v>
      </c>
      <c r="M263" s="308"/>
      <c r="N263" s="308">
        <v>2000000</v>
      </c>
      <c r="O263" s="309"/>
      <c r="P263" s="309"/>
      <c r="Q263" s="309"/>
      <c r="R263" s="84"/>
      <c r="S263" s="70">
        <f t="shared" si="41"/>
        <v>0</v>
      </c>
      <c r="T263" s="70"/>
      <c r="U263" s="70">
        <v>2000000</v>
      </c>
      <c r="V263" s="9" t="s">
        <v>521</v>
      </c>
      <c r="W263" s="19"/>
      <c r="X263" s="19"/>
      <c r="Y263" s="67">
        <f t="shared" si="38"/>
        <v>2000000</v>
      </c>
      <c r="Z263" s="52"/>
      <c r="AA263" s="52"/>
      <c r="AB263" s="19"/>
      <c r="AC263" s="24">
        <f t="shared" si="43"/>
        <v>-1700000</v>
      </c>
      <c r="AD263" s="19"/>
      <c r="AE263" s="19"/>
      <c r="AF263" s="19"/>
      <c r="AG263" s="19"/>
      <c r="AH263" s="19"/>
      <c r="AI263" s="14"/>
      <c r="AJ263" s="139">
        <v>20</v>
      </c>
      <c r="AK263" s="135" t="s">
        <v>272</v>
      </c>
      <c r="AL263" s="136">
        <v>10338488</v>
      </c>
      <c r="AM263" s="138">
        <v>5</v>
      </c>
    </row>
    <row r="264" spans="1:39" s="27" customFormat="1" ht="33">
      <c r="A264" s="34" t="s">
        <v>876</v>
      </c>
      <c r="B264" s="34"/>
      <c r="C264" s="119" t="s">
        <v>1192</v>
      </c>
      <c r="D264" s="119"/>
      <c r="E264" s="121" t="s">
        <v>905</v>
      </c>
      <c r="F264" s="121"/>
      <c r="G264" s="132" t="s">
        <v>418</v>
      </c>
      <c r="H264" s="132" t="s">
        <v>520</v>
      </c>
      <c r="I264" s="132" t="s">
        <v>108</v>
      </c>
      <c r="J264" s="133" t="s">
        <v>419</v>
      </c>
      <c r="K264" s="134" t="s">
        <v>1052</v>
      </c>
      <c r="L264" s="307">
        <f t="shared" si="42"/>
        <v>300000</v>
      </c>
      <c r="M264" s="308"/>
      <c r="N264" s="308">
        <v>300000</v>
      </c>
      <c r="O264" s="309"/>
      <c r="P264" s="309"/>
      <c r="Q264" s="309"/>
      <c r="R264" s="84"/>
      <c r="S264" s="70">
        <f t="shared" si="41"/>
        <v>0</v>
      </c>
      <c r="T264" s="70"/>
      <c r="U264" s="70">
        <v>300000</v>
      </c>
      <c r="V264" s="9" t="s">
        <v>521</v>
      </c>
      <c r="W264" s="19"/>
      <c r="X264" s="19">
        <v>300000</v>
      </c>
      <c r="Y264" s="67">
        <f t="shared" si="38"/>
        <v>0</v>
      </c>
      <c r="Z264" s="52"/>
      <c r="AA264" s="52"/>
      <c r="AB264" s="19"/>
      <c r="AC264" s="24">
        <f t="shared" si="43"/>
        <v>1059381.95</v>
      </c>
      <c r="AD264" s="19"/>
      <c r="AE264" s="19"/>
      <c r="AF264" s="19"/>
      <c r="AG264" s="19"/>
      <c r="AH264" s="19"/>
      <c r="AI264" s="14"/>
      <c r="AJ264" s="139">
        <v>5</v>
      </c>
      <c r="AK264" s="135" t="s">
        <v>272</v>
      </c>
      <c r="AL264" s="136">
        <v>3600000</v>
      </c>
      <c r="AM264" s="138">
        <v>5</v>
      </c>
    </row>
    <row r="265" spans="1:39" s="27" customFormat="1" ht="33">
      <c r="A265" s="34" t="s">
        <v>876</v>
      </c>
      <c r="B265" s="34"/>
      <c r="C265" s="119" t="s">
        <v>1192</v>
      </c>
      <c r="D265" s="119"/>
      <c r="E265" s="121" t="s">
        <v>902</v>
      </c>
      <c r="F265" s="121"/>
      <c r="G265" s="132" t="s">
        <v>418</v>
      </c>
      <c r="H265" s="132" t="s">
        <v>520</v>
      </c>
      <c r="I265" s="132" t="s">
        <v>108</v>
      </c>
      <c r="J265" s="133" t="s">
        <v>419</v>
      </c>
      <c r="K265" s="134" t="s">
        <v>831</v>
      </c>
      <c r="L265" s="307">
        <f t="shared" si="42"/>
        <v>1359381.95</v>
      </c>
      <c r="M265" s="308"/>
      <c r="N265" s="308">
        <v>1359381.95</v>
      </c>
      <c r="O265" s="309"/>
      <c r="P265" s="309"/>
      <c r="Q265" s="309"/>
      <c r="R265" s="84"/>
      <c r="S265" s="70">
        <f t="shared" si="41"/>
        <v>0</v>
      </c>
      <c r="T265" s="70"/>
      <c r="U265" s="70">
        <v>1359381.95</v>
      </c>
      <c r="V265" s="9" t="s">
        <v>521</v>
      </c>
      <c r="W265" s="19"/>
      <c r="X265" s="19">
        <v>1011379.95</v>
      </c>
      <c r="Y265" s="67">
        <f t="shared" si="38"/>
        <v>348002</v>
      </c>
      <c r="Z265" s="52"/>
      <c r="AA265" s="52"/>
      <c r="AB265" s="19"/>
      <c r="AC265" s="24">
        <f t="shared" si="43"/>
        <v>-840381.95</v>
      </c>
      <c r="AD265" s="19"/>
      <c r="AE265" s="19"/>
      <c r="AF265" s="19"/>
      <c r="AG265" s="19"/>
      <c r="AH265" s="19"/>
      <c r="AI265" s="14"/>
      <c r="AJ265" s="139">
        <v>100</v>
      </c>
      <c r="AK265" s="135" t="s">
        <v>271</v>
      </c>
      <c r="AL265" s="136">
        <v>1548002</v>
      </c>
      <c r="AM265" s="138">
        <v>70</v>
      </c>
    </row>
    <row r="266" spans="1:39" s="27" customFormat="1" ht="49.5">
      <c r="A266" s="34" t="s">
        <v>876</v>
      </c>
      <c r="B266" s="34"/>
      <c r="C266" s="119" t="s">
        <v>1192</v>
      </c>
      <c r="D266" s="119"/>
      <c r="E266" s="121" t="s">
        <v>905</v>
      </c>
      <c r="F266" s="121"/>
      <c r="G266" s="132" t="s">
        <v>418</v>
      </c>
      <c r="H266" s="132" t="s">
        <v>520</v>
      </c>
      <c r="I266" s="132" t="s">
        <v>108</v>
      </c>
      <c r="J266" s="133" t="s">
        <v>419</v>
      </c>
      <c r="K266" s="134" t="s">
        <v>1133</v>
      </c>
      <c r="L266" s="307">
        <f t="shared" si="42"/>
        <v>519000</v>
      </c>
      <c r="M266" s="308"/>
      <c r="N266" s="308">
        <v>519000</v>
      </c>
      <c r="O266" s="309"/>
      <c r="P266" s="309"/>
      <c r="Q266" s="309"/>
      <c r="R266" s="84"/>
      <c r="S266" s="70">
        <f t="shared" si="41"/>
        <v>0</v>
      </c>
      <c r="T266" s="70"/>
      <c r="U266" s="70">
        <v>519000</v>
      </c>
      <c r="V266" s="9" t="s">
        <v>521</v>
      </c>
      <c r="W266" s="19"/>
      <c r="X266" s="19">
        <v>519000</v>
      </c>
      <c r="Y266" s="67">
        <f t="shared" si="38"/>
        <v>0</v>
      </c>
      <c r="Z266" s="52"/>
      <c r="AA266" s="52"/>
      <c r="AB266" s="19"/>
      <c r="AC266" s="24">
        <f t="shared" si="43"/>
        <v>281000</v>
      </c>
      <c r="AD266" s="19"/>
      <c r="AE266" s="19"/>
      <c r="AF266" s="19"/>
      <c r="AG266" s="19"/>
      <c r="AH266" s="19"/>
      <c r="AI266" s="14"/>
      <c r="AJ266" s="139">
        <v>5</v>
      </c>
      <c r="AK266" s="135" t="s">
        <v>402</v>
      </c>
      <c r="AL266" s="136">
        <v>20282132</v>
      </c>
      <c r="AM266" s="138">
        <v>5</v>
      </c>
    </row>
    <row r="267" spans="1:39" s="27" customFormat="1" ht="33">
      <c r="A267" s="34" t="s">
        <v>876</v>
      </c>
      <c r="B267" s="34"/>
      <c r="C267" s="119" t="s">
        <v>1192</v>
      </c>
      <c r="D267" s="119"/>
      <c r="E267" s="121" t="s">
        <v>902</v>
      </c>
      <c r="F267" s="121"/>
      <c r="G267" s="132" t="s">
        <v>418</v>
      </c>
      <c r="H267" s="132" t="s">
        <v>520</v>
      </c>
      <c r="I267" s="132" t="s">
        <v>108</v>
      </c>
      <c r="J267" s="133" t="s">
        <v>419</v>
      </c>
      <c r="K267" s="134" t="s">
        <v>832</v>
      </c>
      <c r="L267" s="307">
        <f t="shared" si="42"/>
        <v>800000</v>
      </c>
      <c r="M267" s="308"/>
      <c r="N267" s="308">
        <v>800000</v>
      </c>
      <c r="O267" s="309"/>
      <c r="P267" s="309"/>
      <c r="Q267" s="309"/>
      <c r="R267" s="84"/>
      <c r="S267" s="70">
        <f t="shared" si="41"/>
        <v>0</v>
      </c>
      <c r="T267" s="70"/>
      <c r="U267" s="70">
        <v>800000</v>
      </c>
      <c r="V267" s="9" t="s">
        <v>521</v>
      </c>
      <c r="W267" s="19"/>
      <c r="X267" s="19">
        <v>300000</v>
      </c>
      <c r="Y267" s="67">
        <f t="shared" si="38"/>
        <v>500000</v>
      </c>
      <c r="Z267" s="52"/>
      <c r="AA267" s="52"/>
      <c r="AB267" s="19"/>
      <c r="AC267" s="24">
        <f t="shared" si="43"/>
        <v>-609500</v>
      </c>
      <c r="AD267" s="19"/>
      <c r="AE267" s="19"/>
      <c r="AF267" s="19"/>
      <c r="AG267" s="19"/>
      <c r="AH267" s="19"/>
      <c r="AI267" s="14"/>
      <c r="AJ267" s="139">
        <v>45</v>
      </c>
      <c r="AK267" s="135" t="s">
        <v>272</v>
      </c>
      <c r="AL267" s="136">
        <v>2518446</v>
      </c>
      <c r="AM267" s="138">
        <v>10</v>
      </c>
    </row>
    <row r="268" spans="1:39" s="27" customFormat="1" ht="33">
      <c r="A268" s="34" t="s">
        <v>876</v>
      </c>
      <c r="B268" s="34"/>
      <c r="C268" s="119" t="s">
        <v>1192</v>
      </c>
      <c r="D268" s="119"/>
      <c r="E268" s="121" t="s">
        <v>902</v>
      </c>
      <c r="F268" s="121"/>
      <c r="G268" s="132" t="s">
        <v>418</v>
      </c>
      <c r="H268" s="132" t="s">
        <v>520</v>
      </c>
      <c r="I268" s="132" t="s">
        <v>108</v>
      </c>
      <c r="J268" s="133" t="s">
        <v>419</v>
      </c>
      <c r="K268" s="134" t="s">
        <v>1257</v>
      </c>
      <c r="L268" s="307">
        <f t="shared" si="42"/>
        <v>190500</v>
      </c>
      <c r="M268" s="308"/>
      <c r="N268" s="308">
        <v>190500</v>
      </c>
      <c r="O268" s="309"/>
      <c r="P268" s="309"/>
      <c r="Q268" s="309"/>
      <c r="R268" s="84"/>
      <c r="S268" s="70">
        <f t="shared" si="41"/>
        <v>0</v>
      </c>
      <c r="T268" s="70"/>
      <c r="U268" s="70">
        <v>190500</v>
      </c>
      <c r="V268" s="9" t="s">
        <v>521</v>
      </c>
      <c r="W268" s="19" t="s">
        <v>273</v>
      </c>
      <c r="X268" s="19">
        <v>190500</v>
      </c>
      <c r="Y268" s="67">
        <f t="shared" si="38"/>
        <v>0</v>
      </c>
      <c r="Z268" s="52"/>
      <c r="AA268" s="52"/>
      <c r="AB268" s="19"/>
      <c r="AC268" s="24">
        <f t="shared" si="43"/>
        <v>609500</v>
      </c>
      <c r="AD268" s="19"/>
      <c r="AE268" s="19"/>
      <c r="AF268" s="19"/>
      <c r="AG268" s="19"/>
      <c r="AH268" s="19"/>
      <c r="AI268" s="14"/>
      <c r="AJ268" s="139">
        <v>5</v>
      </c>
      <c r="AK268" s="135" t="s">
        <v>272</v>
      </c>
      <c r="AL268" s="136">
        <v>2552292</v>
      </c>
      <c r="AM268" s="138">
        <v>5</v>
      </c>
    </row>
    <row r="269" spans="1:39" s="27" customFormat="1" ht="33">
      <c r="A269" s="34" t="s">
        <v>876</v>
      </c>
      <c r="B269" s="34"/>
      <c r="C269" s="119" t="s">
        <v>1192</v>
      </c>
      <c r="D269" s="119"/>
      <c r="E269" s="121" t="s">
        <v>905</v>
      </c>
      <c r="F269" s="121"/>
      <c r="G269" s="132" t="s">
        <v>418</v>
      </c>
      <c r="H269" s="132" t="s">
        <v>520</v>
      </c>
      <c r="I269" s="132" t="s">
        <v>108</v>
      </c>
      <c r="J269" s="133" t="s">
        <v>419</v>
      </c>
      <c r="K269" s="134" t="s">
        <v>587</v>
      </c>
      <c r="L269" s="307">
        <f t="shared" si="42"/>
        <v>800000</v>
      </c>
      <c r="M269" s="308"/>
      <c r="N269" s="308">
        <v>800000</v>
      </c>
      <c r="O269" s="309"/>
      <c r="P269" s="309"/>
      <c r="Q269" s="309"/>
      <c r="R269" s="84"/>
      <c r="S269" s="70">
        <f t="shared" si="41"/>
        <v>0</v>
      </c>
      <c r="T269" s="70"/>
      <c r="U269" s="70">
        <v>800000</v>
      </c>
      <c r="V269" s="9" t="s">
        <v>521</v>
      </c>
      <c r="W269" s="19"/>
      <c r="X269" s="19">
        <v>391058.97</v>
      </c>
      <c r="Y269" s="67">
        <f t="shared" si="38"/>
        <v>408941.03</v>
      </c>
      <c r="Z269" s="52"/>
      <c r="AA269" s="52"/>
      <c r="AB269" s="19"/>
      <c r="AC269" s="24">
        <f t="shared" si="43"/>
        <v>-570000</v>
      </c>
      <c r="AD269" s="19"/>
      <c r="AE269" s="19"/>
      <c r="AF269" s="19"/>
      <c r="AG269" s="19"/>
      <c r="AH269" s="19"/>
      <c r="AI269" s="14"/>
      <c r="AJ269" s="139">
        <v>95</v>
      </c>
      <c r="AK269" s="135" t="s">
        <v>346</v>
      </c>
      <c r="AL269" s="136">
        <v>2501474</v>
      </c>
      <c r="AM269" s="138">
        <v>85</v>
      </c>
    </row>
    <row r="270" spans="1:39" s="27" customFormat="1" ht="49.5">
      <c r="A270" s="34" t="s">
        <v>876</v>
      </c>
      <c r="B270" s="34"/>
      <c r="C270" s="119" t="s">
        <v>1192</v>
      </c>
      <c r="D270" s="119"/>
      <c r="E270" s="121" t="s">
        <v>902</v>
      </c>
      <c r="F270" s="121"/>
      <c r="G270" s="132" t="s">
        <v>418</v>
      </c>
      <c r="H270" s="132" t="s">
        <v>520</v>
      </c>
      <c r="I270" s="132" t="s">
        <v>108</v>
      </c>
      <c r="J270" s="133" t="s">
        <v>419</v>
      </c>
      <c r="K270" s="134" t="s">
        <v>1134</v>
      </c>
      <c r="L270" s="307">
        <f t="shared" si="42"/>
        <v>230000</v>
      </c>
      <c r="M270" s="308"/>
      <c r="N270" s="308">
        <v>230000</v>
      </c>
      <c r="O270" s="309"/>
      <c r="P270" s="309"/>
      <c r="Q270" s="309"/>
      <c r="R270" s="84"/>
      <c r="S270" s="70">
        <f t="shared" si="41"/>
        <v>0</v>
      </c>
      <c r="T270" s="70"/>
      <c r="U270" s="70">
        <v>230000</v>
      </c>
      <c r="V270" s="9" t="s">
        <v>521</v>
      </c>
      <c r="W270" s="19"/>
      <c r="X270" s="19">
        <v>230000</v>
      </c>
      <c r="Y270" s="67">
        <f t="shared" si="38"/>
        <v>0</v>
      </c>
      <c r="Z270" s="52"/>
      <c r="AA270" s="52"/>
      <c r="AB270" s="19"/>
      <c r="AC270" s="24">
        <f t="shared" si="43"/>
        <v>370000</v>
      </c>
      <c r="AD270" s="19"/>
      <c r="AE270" s="19"/>
      <c r="AF270" s="19"/>
      <c r="AG270" s="19"/>
      <c r="AH270" s="19"/>
      <c r="AI270" s="14"/>
      <c r="AJ270" s="139">
        <v>5</v>
      </c>
      <c r="AK270" s="135" t="s">
        <v>272</v>
      </c>
      <c r="AL270" s="136">
        <v>7839503</v>
      </c>
      <c r="AM270" s="138">
        <v>5</v>
      </c>
    </row>
    <row r="271" spans="1:39" s="27" customFormat="1" ht="33">
      <c r="A271" s="34" t="s">
        <v>876</v>
      </c>
      <c r="B271" s="34"/>
      <c r="C271" s="119" t="s">
        <v>1192</v>
      </c>
      <c r="D271" s="119"/>
      <c r="E271" s="121" t="s">
        <v>905</v>
      </c>
      <c r="F271" s="121"/>
      <c r="G271" s="132" t="s">
        <v>418</v>
      </c>
      <c r="H271" s="132" t="s">
        <v>520</v>
      </c>
      <c r="I271" s="132" t="s">
        <v>108</v>
      </c>
      <c r="J271" s="133" t="s">
        <v>419</v>
      </c>
      <c r="K271" s="134" t="s">
        <v>833</v>
      </c>
      <c r="L271" s="307">
        <f t="shared" si="42"/>
        <v>600000</v>
      </c>
      <c r="M271" s="308"/>
      <c r="N271" s="308">
        <v>600000</v>
      </c>
      <c r="O271" s="309"/>
      <c r="P271" s="309"/>
      <c r="Q271" s="309"/>
      <c r="R271" s="84"/>
      <c r="S271" s="70">
        <f t="shared" si="41"/>
        <v>0</v>
      </c>
      <c r="T271" s="70"/>
      <c r="U271" s="70">
        <v>600000</v>
      </c>
      <c r="V271" s="9" t="s">
        <v>521</v>
      </c>
      <c r="W271" s="19"/>
      <c r="X271" s="19">
        <v>600000</v>
      </c>
      <c r="Y271" s="67">
        <f t="shared" si="38"/>
        <v>0</v>
      </c>
      <c r="Z271" s="52"/>
      <c r="AA271" s="52"/>
      <c r="AB271" s="19"/>
      <c r="AC271" s="24">
        <f t="shared" si="43"/>
        <v>-400000</v>
      </c>
      <c r="AD271" s="19"/>
      <c r="AE271" s="19"/>
      <c r="AF271" s="19"/>
      <c r="AG271" s="19"/>
      <c r="AH271" s="19"/>
      <c r="AI271" s="14"/>
      <c r="AJ271" s="139">
        <v>100</v>
      </c>
      <c r="AK271" s="135" t="s">
        <v>413</v>
      </c>
      <c r="AL271" s="136">
        <v>2019720</v>
      </c>
      <c r="AM271" s="138">
        <v>35</v>
      </c>
    </row>
    <row r="272" spans="1:39" s="27" customFormat="1" ht="33">
      <c r="A272" s="34" t="s">
        <v>876</v>
      </c>
      <c r="B272" s="34"/>
      <c r="C272" s="119" t="s">
        <v>1192</v>
      </c>
      <c r="D272" s="119"/>
      <c r="E272" s="121" t="s">
        <v>902</v>
      </c>
      <c r="F272" s="121"/>
      <c r="G272" s="132" t="s">
        <v>418</v>
      </c>
      <c r="H272" s="132" t="s">
        <v>520</v>
      </c>
      <c r="I272" s="132" t="s">
        <v>108</v>
      </c>
      <c r="J272" s="133" t="s">
        <v>419</v>
      </c>
      <c r="K272" s="134" t="s">
        <v>834</v>
      </c>
      <c r="L272" s="307">
        <f t="shared" si="42"/>
        <v>200000</v>
      </c>
      <c r="M272" s="308"/>
      <c r="N272" s="308">
        <v>200000</v>
      </c>
      <c r="O272" s="309"/>
      <c r="P272" s="309"/>
      <c r="Q272" s="309"/>
      <c r="R272" s="84"/>
      <c r="S272" s="70">
        <f t="shared" si="41"/>
        <v>0</v>
      </c>
      <c r="T272" s="70"/>
      <c r="U272" s="70">
        <v>200000</v>
      </c>
      <c r="V272" s="9" t="s">
        <v>521</v>
      </c>
      <c r="W272" s="19"/>
      <c r="X272" s="19"/>
      <c r="Y272" s="67">
        <f t="shared" si="38"/>
        <v>200000</v>
      </c>
      <c r="Z272" s="52"/>
      <c r="AA272" s="52"/>
      <c r="AB272" s="19"/>
      <c r="AC272" s="24">
        <f t="shared" si="43"/>
        <v>2300000</v>
      </c>
      <c r="AD272" s="19"/>
      <c r="AE272" s="19"/>
      <c r="AF272" s="19"/>
      <c r="AG272" s="19"/>
      <c r="AH272" s="19"/>
      <c r="AI272" s="14"/>
      <c r="AJ272" s="139"/>
      <c r="AK272" s="135">
        <v>2021</v>
      </c>
      <c r="AL272" s="136">
        <v>300000</v>
      </c>
      <c r="AM272" s="138"/>
    </row>
    <row r="273" spans="1:39" s="27" customFormat="1" ht="49.5" customHeight="1">
      <c r="A273" s="34" t="s">
        <v>876</v>
      </c>
      <c r="B273" s="34"/>
      <c r="C273" s="72" t="s">
        <v>1193</v>
      </c>
      <c r="D273" s="72"/>
      <c r="E273" s="120" t="s">
        <v>902</v>
      </c>
      <c r="F273" s="120"/>
      <c r="G273" s="132" t="s">
        <v>418</v>
      </c>
      <c r="H273" s="132" t="s">
        <v>520</v>
      </c>
      <c r="I273" s="132" t="s">
        <v>108</v>
      </c>
      <c r="J273" s="133" t="s">
        <v>419</v>
      </c>
      <c r="K273" s="134" t="s">
        <v>1088</v>
      </c>
      <c r="L273" s="307">
        <f t="shared" si="42"/>
        <v>2500000</v>
      </c>
      <c r="M273" s="308"/>
      <c r="N273" s="308">
        <v>2500000</v>
      </c>
      <c r="O273" s="309"/>
      <c r="P273" s="309"/>
      <c r="Q273" s="309"/>
      <c r="R273" s="84"/>
      <c r="S273" s="70">
        <f t="shared" si="41"/>
        <v>0</v>
      </c>
      <c r="T273" s="70"/>
      <c r="U273" s="70">
        <v>2500000</v>
      </c>
      <c r="V273" s="9" t="s">
        <v>521</v>
      </c>
      <c r="W273" s="19" t="s">
        <v>273</v>
      </c>
      <c r="X273" s="19"/>
      <c r="Y273" s="67">
        <f t="shared" si="38"/>
        <v>2500000</v>
      </c>
      <c r="Z273" s="52"/>
      <c r="AA273" s="52"/>
      <c r="AB273" s="19"/>
      <c r="AC273" s="24">
        <f t="shared" si="43"/>
        <v>-2450000</v>
      </c>
      <c r="AD273" s="19"/>
      <c r="AE273" s="19"/>
      <c r="AF273" s="19"/>
      <c r="AG273" s="19"/>
      <c r="AH273" s="19"/>
      <c r="AI273" s="14"/>
      <c r="AJ273" s="139">
        <v>100</v>
      </c>
      <c r="AK273" s="135" t="s">
        <v>271</v>
      </c>
      <c r="AL273" s="136">
        <v>2500000</v>
      </c>
      <c r="AM273" s="138">
        <v>20</v>
      </c>
    </row>
    <row r="274" spans="1:39" s="27" customFormat="1" ht="33" customHeight="1">
      <c r="A274" s="34" t="s">
        <v>876</v>
      </c>
      <c r="B274" s="34"/>
      <c r="C274" s="72" t="s">
        <v>1193</v>
      </c>
      <c r="D274" s="72"/>
      <c r="E274" s="120" t="s">
        <v>906</v>
      </c>
      <c r="F274" s="120"/>
      <c r="G274" s="132" t="s">
        <v>418</v>
      </c>
      <c r="H274" s="132" t="s">
        <v>520</v>
      </c>
      <c r="I274" s="132" t="s">
        <v>108</v>
      </c>
      <c r="J274" s="133" t="s">
        <v>419</v>
      </c>
      <c r="K274" s="134" t="s">
        <v>973</v>
      </c>
      <c r="L274" s="307">
        <f t="shared" si="42"/>
        <v>50000</v>
      </c>
      <c r="M274" s="308"/>
      <c r="N274" s="308">
        <v>50000</v>
      </c>
      <c r="O274" s="309"/>
      <c r="P274" s="309"/>
      <c r="Q274" s="309"/>
      <c r="R274" s="84"/>
      <c r="S274" s="70">
        <f t="shared" si="41"/>
        <v>0</v>
      </c>
      <c r="T274" s="70"/>
      <c r="U274" s="70">
        <v>50000</v>
      </c>
      <c r="V274" s="9" t="s">
        <v>521</v>
      </c>
      <c r="W274" s="19" t="s">
        <v>273</v>
      </c>
      <c r="X274" s="19"/>
      <c r="Y274" s="67">
        <f t="shared" si="38"/>
        <v>50000</v>
      </c>
      <c r="Z274" s="52"/>
      <c r="AA274" s="52"/>
      <c r="AB274" s="19"/>
      <c r="AC274" s="24">
        <f t="shared" si="43"/>
        <v>50000</v>
      </c>
      <c r="AD274" s="19"/>
      <c r="AE274" s="19"/>
      <c r="AF274" s="19"/>
      <c r="AG274" s="19"/>
      <c r="AH274" s="19"/>
      <c r="AI274" s="14"/>
      <c r="AJ274" s="139">
        <v>5</v>
      </c>
      <c r="AK274" s="135" t="s">
        <v>271</v>
      </c>
      <c r="AL274" s="136">
        <v>300000</v>
      </c>
      <c r="AM274" s="138"/>
    </row>
    <row r="275" spans="1:39" s="27" customFormat="1" ht="49.5">
      <c r="A275" s="34" t="s">
        <v>876</v>
      </c>
      <c r="B275" s="34"/>
      <c r="C275" s="72" t="s">
        <v>1193</v>
      </c>
      <c r="D275" s="72"/>
      <c r="E275" s="120" t="s">
        <v>905</v>
      </c>
      <c r="F275" s="120"/>
      <c r="G275" s="132" t="s">
        <v>418</v>
      </c>
      <c r="H275" s="132" t="s">
        <v>520</v>
      </c>
      <c r="I275" s="132" t="s">
        <v>108</v>
      </c>
      <c r="J275" s="133" t="s">
        <v>419</v>
      </c>
      <c r="K275" s="134" t="s">
        <v>754</v>
      </c>
      <c r="L275" s="307">
        <f t="shared" si="42"/>
        <v>100000</v>
      </c>
      <c r="M275" s="308"/>
      <c r="N275" s="308">
        <v>100000</v>
      </c>
      <c r="O275" s="296"/>
      <c r="P275" s="296"/>
      <c r="Q275" s="296"/>
      <c r="R275" s="84"/>
      <c r="S275" s="70">
        <f t="shared" si="41"/>
        <v>0</v>
      </c>
      <c r="T275" s="70"/>
      <c r="U275" s="70">
        <v>100000</v>
      </c>
      <c r="V275" s="9" t="s">
        <v>521</v>
      </c>
      <c r="W275" s="19"/>
      <c r="X275" s="19"/>
      <c r="Y275" s="67">
        <f t="shared" ref="Y275:Y338" si="44">N275-X275</f>
        <v>100000</v>
      </c>
      <c r="Z275" s="52"/>
      <c r="AA275" s="52"/>
      <c r="AB275" s="19"/>
      <c r="AC275" s="24">
        <f t="shared" si="43"/>
        <v>24900000</v>
      </c>
      <c r="AD275" s="19"/>
      <c r="AE275" s="19"/>
      <c r="AF275" s="19"/>
      <c r="AG275" s="19"/>
      <c r="AH275" s="19"/>
      <c r="AI275" s="14"/>
      <c r="AJ275" s="139">
        <v>5</v>
      </c>
      <c r="AK275" s="135" t="s">
        <v>402</v>
      </c>
      <c r="AL275" s="136">
        <v>100000</v>
      </c>
      <c r="AM275" s="138">
        <v>5</v>
      </c>
    </row>
    <row r="276" spans="1:39" s="27" customFormat="1" ht="33">
      <c r="A276" s="34" t="s">
        <v>876</v>
      </c>
      <c r="B276" s="34"/>
      <c r="C276" s="72"/>
      <c r="D276" s="72"/>
      <c r="E276" s="120" t="s">
        <v>905</v>
      </c>
      <c r="F276" s="120"/>
      <c r="G276" s="132" t="s">
        <v>418</v>
      </c>
      <c r="H276" s="132" t="s">
        <v>520</v>
      </c>
      <c r="I276" s="132" t="s">
        <v>108</v>
      </c>
      <c r="J276" s="133" t="s">
        <v>419</v>
      </c>
      <c r="K276" s="134" t="s">
        <v>1089</v>
      </c>
      <c r="L276" s="307">
        <f t="shared" si="42"/>
        <v>25000000</v>
      </c>
      <c r="M276" s="308"/>
      <c r="N276" s="308">
        <v>25000000</v>
      </c>
      <c r="O276" s="296"/>
      <c r="P276" s="296"/>
      <c r="Q276" s="296"/>
      <c r="R276" s="84"/>
      <c r="S276" s="70">
        <f t="shared" si="41"/>
        <v>0</v>
      </c>
      <c r="T276" s="70"/>
      <c r="U276" s="40">
        <v>25000000</v>
      </c>
      <c r="V276" s="9" t="s">
        <v>521</v>
      </c>
      <c r="W276" s="19"/>
      <c r="X276" s="19"/>
      <c r="Y276" s="67">
        <f t="shared" si="44"/>
        <v>25000000</v>
      </c>
      <c r="Z276" s="52"/>
      <c r="AA276" s="52"/>
      <c r="AB276" s="19"/>
      <c r="AC276" s="24">
        <f t="shared" si="43"/>
        <v>-24900000</v>
      </c>
      <c r="AD276" s="19"/>
      <c r="AE276" s="19"/>
      <c r="AF276" s="19"/>
      <c r="AG276" s="19"/>
      <c r="AH276" s="19"/>
      <c r="AI276" s="14"/>
      <c r="AJ276" s="139">
        <v>80</v>
      </c>
      <c r="AK276" s="135" t="s">
        <v>346</v>
      </c>
      <c r="AL276" s="136">
        <v>126755492</v>
      </c>
      <c r="AM276" s="138">
        <v>60</v>
      </c>
    </row>
    <row r="277" spans="1:39" s="27" customFormat="1" ht="49.5">
      <c r="A277" s="34" t="s">
        <v>876</v>
      </c>
      <c r="B277" s="34"/>
      <c r="C277" s="72"/>
      <c r="D277" s="72"/>
      <c r="E277" s="120" t="s">
        <v>902</v>
      </c>
      <c r="F277" s="120"/>
      <c r="G277" s="132" t="s">
        <v>418</v>
      </c>
      <c r="H277" s="132" t="s">
        <v>520</v>
      </c>
      <c r="I277" s="132" t="s">
        <v>108</v>
      </c>
      <c r="J277" s="133" t="s">
        <v>419</v>
      </c>
      <c r="K277" s="134" t="s">
        <v>1053</v>
      </c>
      <c r="L277" s="307">
        <f t="shared" si="42"/>
        <v>100000</v>
      </c>
      <c r="M277" s="308"/>
      <c r="N277" s="308">
        <v>100000</v>
      </c>
      <c r="O277" s="296"/>
      <c r="P277" s="296"/>
      <c r="Q277" s="296"/>
      <c r="R277" s="84"/>
      <c r="S277" s="70">
        <f t="shared" si="41"/>
        <v>0</v>
      </c>
      <c r="T277" s="70"/>
      <c r="U277" s="70">
        <v>100000</v>
      </c>
      <c r="V277" s="9" t="s">
        <v>521</v>
      </c>
      <c r="W277" s="19"/>
      <c r="X277" s="19"/>
      <c r="Y277" s="67">
        <f t="shared" si="44"/>
        <v>100000</v>
      </c>
      <c r="Z277" s="52"/>
      <c r="AA277" s="52"/>
      <c r="AB277" s="19"/>
      <c r="AC277" s="24">
        <f t="shared" si="43"/>
        <v>400000</v>
      </c>
      <c r="AD277" s="19"/>
      <c r="AE277" s="19"/>
      <c r="AF277" s="19"/>
      <c r="AG277" s="19"/>
      <c r="AH277" s="19"/>
      <c r="AI277" s="14"/>
      <c r="AJ277" s="139">
        <v>5</v>
      </c>
      <c r="AK277" s="135" t="s">
        <v>271</v>
      </c>
      <c r="AL277" s="136"/>
      <c r="AM277" s="138"/>
    </row>
    <row r="278" spans="1:39" s="27" customFormat="1" ht="66">
      <c r="A278" s="34" t="s">
        <v>876</v>
      </c>
      <c r="B278" s="34"/>
      <c r="C278" s="72" t="s">
        <v>1194</v>
      </c>
      <c r="D278" s="72"/>
      <c r="E278" s="120" t="s">
        <v>905</v>
      </c>
      <c r="F278" s="120"/>
      <c r="G278" s="132" t="s">
        <v>418</v>
      </c>
      <c r="H278" s="132" t="s">
        <v>520</v>
      </c>
      <c r="I278" s="132" t="s">
        <v>108</v>
      </c>
      <c r="J278" s="133" t="s">
        <v>419</v>
      </c>
      <c r="K278" s="134" t="s">
        <v>1090</v>
      </c>
      <c r="L278" s="307">
        <f t="shared" si="42"/>
        <v>500000</v>
      </c>
      <c r="M278" s="308"/>
      <c r="N278" s="308">
        <v>500000</v>
      </c>
      <c r="O278" s="296"/>
      <c r="P278" s="296"/>
      <c r="Q278" s="296"/>
      <c r="R278" s="84"/>
      <c r="S278" s="70">
        <f t="shared" si="41"/>
        <v>0</v>
      </c>
      <c r="T278" s="70"/>
      <c r="U278" s="70">
        <v>500000</v>
      </c>
      <c r="V278" s="9" t="s">
        <v>521</v>
      </c>
      <c r="W278" s="19"/>
      <c r="X278" s="19"/>
      <c r="Y278" s="67">
        <f t="shared" si="44"/>
        <v>500000</v>
      </c>
      <c r="Z278" s="52"/>
      <c r="AA278" s="52"/>
      <c r="AB278" s="19"/>
      <c r="AC278" s="24">
        <f t="shared" si="43"/>
        <v>-484000</v>
      </c>
      <c r="AD278" s="19"/>
      <c r="AE278" s="19"/>
      <c r="AF278" s="19"/>
      <c r="AG278" s="19"/>
      <c r="AH278" s="19"/>
      <c r="AI278" s="14"/>
      <c r="AJ278" s="139">
        <v>70</v>
      </c>
      <c r="AK278" s="135" t="s">
        <v>271</v>
      </c>
      <c r="AL278" s="136">
        <v>3500000</v>
      </c>
      <c r="AM278" s="138">
        <v>30</v>
      </c>
    </row>
    <row r="279" spans="1:39" s="27" customFormat="1" ht="33">
      <c r="A279" s="34" t="s">
        <v>876</v>
      </c>
      <c r="B279" s="34"/>
      <c r="C279" s="72" t="s">
        <v>1195</v>
      </c>
      <c r="D279" s="72"/>
      <c r="E279" s="120" t="s">
        <v>906</v>
      </c>
      <c r="F279" s="120"/>
      <c r="G279" s="132" t="s">
        <v>418</v>
      </c>
      <c r="H279" s="132" t="s">
        <v>520</v>
      </c>
      <c r="I279" s="132" t="s">
        <v>108</v>
      </c>
      <c r="J279" s="133" t="s">
        <v>419</v>
      </c>
      <c r="K279" s="134" t="s">
        <v>755</v>
      </c>
      <c r="L279" s="307">
        <f t="shared" si="42"/>
        <v>16000</v>
      </c>
      <c r="M279" s="308"/>
      <c r="N279" s="308">
        <v>16000</v>
      </c>
      <c r="O279" s="296"/>
      <c r="P279" s="296"/>
      <c r="Q279" s="296"/>
      <c r="R279" s="84"/>
      <c r="S279" s="70">
        <f t="shared" si="41"/>
        <v>0</v>
      </c>
      <c r="T279" s="70"/>
      <c r="U279" s="70">
        <v>16000</v>
      </c>
      <c r="V279" s="9" t="s">
        <v>521</v>
      </c>
      <c r="W279" s="19"/>
      <c r="X279" s="70">
        <v>16000</v>
      </c>
      <c r="Y279" s="67">
        <f t="shared" si="44"/>
        <v>0</v>
      </c>
      <c r="Z279" s="52"/>
      <c r="AA279" s="52"/>
      <c r="AB279" s="19"/>
      <c r="AC279" s="24">
        <f t="shared" si="43"/>
        <v>15192.02</v>
      </c>
      <c r="AD279" s="19"/>
      <c r="AE279" s="19"/>
      <c r="AF279" s="19"/>
      <c r="AG279" s="19"/>
      <c r="AH279" s="19"/>
      <c r="AI279" s="14"/>
      <c r="AJ279" s="139">
        <v>75</v>
      </c>
      <c r="AK279" s="135" t="s">
        <v>271</v>
      </c>
      <c r="AL279" s="136">
        <v>450000</v>
      </c>
      <c r="AM279" s="138">
        <v>70</v>
      </c>
    </row>
    <row r="280" spans="1:39" s="27" customFormat="1" ht="49.5">
      <c r="A280" s="34" t="s">
        <v>876</v>
      </c>
      <c r="B280" s="34"/>
      <c r="C280" s="72" t="s">
        <v>1195</v>
      </c>
      <c r="D280" s="72"/>
      <c r="E280" s="120" t="s">
        <v>902</v>
      </c>
      <c r="F280" s="120"/>
      <c r="G280" s="132" t="s">
        <v>418</v>
      </c>
      <c r="H280" s="132" t="s">
        <v>520</v>
      </c>
      <c r="I280" s="132" t="s">
        <v>108</v>
      </c>
      <c r="J280" s="133" t="s">
        <v>419</v>
      </c>
      <c r="K280" s="134" t="s">
        <v>591</v>
      </c>
      <c r="L280" s="307">
        <f t="shared" si="42"/>
        <v>31192.02</v>
      </c>
      <c r="M280" s="308"/>
      <c r="N280" s="308">
        <v>31192.02</v>
      </c>
      <c r="O280" s="296"/>
      <c r="P280" s="296"/>
      <c r="Q280" s="296"/>
      <c r="R280" s="84"/>
      <c r="S280" s="70">
        <f t="shared" si="41"/>
        <v>0</v>
      </c>
      <c r="T280" s="70"/>
      <c r="U280" s="70">
        <v>31192.02</v>
      </c>
      <c r="V280" s="9" t="s">
        <v>521</v>
      </c>
      <c r="W280" s="19"/>
      <c r="X280" s="70">
        <v>31192.02</v>
      </c>
      <c r="Y280" s="67">
        <f t="shared" si="44"/>
        <v>0</v>
      </c>
      <c r="Z280" s="52"/>
      <c r="AA280" s="52"/>
      <c r="AB280" s="19"/>
      <c r="AC280" s="24">
        <f t="shared" si="43"/>
        <v>39614.86</v>
      </c>
      <c r="AD280" s="19"/>
      <c r="AE280" s="19"/>
      <c r="AF280" s="19"/>
      <c r="AG280" s="19"/>
      <c r="AH280" s="19"/>
      <c r="AI280" s="14"/>
      <c r="AJ280" s="139">
        <v>100</v>
      </c>
      <c r="AK280" s="135" t="s">
        <v>271</v>
      </c>
      <c r="AL280" s="136">
        <v>300000</v>
      </c>
      <c r="AM280" s="138">
        <v>100</v>
      </c>
    </row>
    <row r="281" spans="1:39" s="27" customFormat="1" ht="49.5">
      <c r="A281" s="34" t="s">
        <v>876</v>
      </c>
      <c r="B281" s="34"/>
      <c r="C281" s="72" t="s">
        <v>1195</v>
      </c>
      <c r="D281" s="72"/>
      <c r="E281" s="120" t="s">
        <v>902</v>
      </c>
      <c r="F281" s="120"/>
      <c r="G281" s="132" t="s">
        <v>418</v>
      </c>
      <c r="H281" s="132" t="s">
        <v>520</v>
      </c>
      <c r="I281" s="132" t="s">
        <v>108</v>
      </c>
      <c r="J281" s="133" t="s">
        <v>419</v>
      </c>
      <c r="K281" s="134" t="s">
        <v>592</v>
      </c>
      <c r="L281" s="307">
        <f t="shared" si="42"/>
        <v>70806.880000000005</v>
      </c>
      <c r="M281" s="308"/>
      <c r="N281" s="308">
        <v>70806.880000000005</v>
      </c>
      <c r="O281" s="296"/>
      <c r="P281" s="296"/>
      <c r="Q281" s="296"/>
      <c r="R281" s="84"/>
      <c r="S281" s="70">
        <f t="shared" si="41"/>
        <v>0</v>
      </c>
      <c r="T281" s="70"/>
      <c r="U281" s="70">
        <v>70806.880000000005</v>
      </c>
      <c r="V281" s="9" t="s">
        <v>758</v>
      </c>
      <c r="W281" s="19"/>
      <c r="X281" s="70">
        <v>70806.880000000005</v>
      </c>
      <c r="Y281" s="67">
        <f t="shared" si="44"/>
        <v>0</v>
      </c>
      <c r="Z281" s="52"/>
      <c r="AA281" s="52"/>
      <c r="AB281" s="19"/>
      <c r="AC281" s="24">
        <f t="shared" si="43"/>
        <v>-69681.88</v>
      </c>
      <c r="AD281" s="19"/>
      <c r="AE281" s="19"/>
      <c r="AF281" s="19"/>
      <c r="AG281" s="19"/>
      <c r="AH281" s="19"/>
      <c r="AI281" s="14"/>
      <c r="AJ281" s="139">
        <v>100</v>
      </c>
      <c r="AK281" s="135" t="s">
        <v>347</v>
      </c>
      <c r="AL281" s="136">
        <v>300000</v>
      </c>
      <c r="AM281" s="138">
        <v>100</v>
      </c>
    </row>
    <row r="282" spans="1:39" s="27" customFormat="1" ht="33">
      <c r="A282" s="34" t="s">
        <v>876</v>
      </c>
      <c r="B282" s="34"/>
      <c r="C282" s="72" t="s">
        <v>1195</v>
      </c>
      <c r="D282" s="72"/>
      <c r="E282" s="120" t="s">
        <v>902</v>
      </c>
      <c r="F282" s="120"/>
      <c r="G282" s="132" t="s">
        <v>418</v>
      </c>
      <c r="H282" s="132" t="s">
        <v>520</v>
      </c>
      <c r="I282" s="132" t="s">
        <v>108</v>
      </c>
      <c r="J282" s="133" t="s">
        <v>419</v>
      </c>
      <c r="K282" s="134" t="s">
        <v>593</v>
      </c>
      <c r="L282" s="307">
        <f t="shared" si="42"/>
        <v>1125</v>
      </c>
      <c r="M282" s="308"/>
      <c r="N282" s="308">
        <v>1125</v>
      </c>
      <c r="O282" s="296"/>
      <c r="P282" s="296"/>
      <c r="Q282" s="296"/>
      <c r="R282" s="84"/>
      <c r="S282" s="70">
        <f t="shared" si="41"/>
        <v>0</v>
      </c>
      <c r="T282" s="70"/>
      <c r="U282" s="70">
        <v>1125</v>
      </c>
      <c r="V282" s="9" t="s">
        <v>521</v>
      </c>
      <c r="W282" s="19"/>
      <c r="X282" s="70">
        <v>1125</v>
      </c>
      <c r="Y282" s="67">
        <f t="shared" si="44"/>
        <v>0</v>
      </c>
      <c r="Z282" s="52"/>
      <c r="AA282" s="52"/>
      <c r="AB282" s="19"/>
      <c r="AC282" s="24">
        <f t="shared" si="43"/>
        <v>13257.92</v>
      </c>
      <c r="AD282" s="19"/>
      <c r="AE282" s="19"/>
      <c r="AF282" s="19"/>
      <c r="AG282" s="19"/>
      <c r="AH282" s="19"/>
      <c r="AI282" s="14"/>
      <c r="AJ282" s="139">
        <v>100</v>
      </c>
      <c r="AK282" s="135" t="s">
        <v>271</v>
      </c>
      <c r="AL282" s="136">
        <v>300000</v>
      </c>
      <c r="AM282" s="138">
        <v>100</v>
      </c>
    </row>
    <row r="283" spans="1:39" s="27" customFormat="1" ht="33">
      <c r="A283" s="34" t="s">
        <v>876</v>
      </c>
      <c r="B283" s="34"/>
      <c r="C283" s="72" t="s">
        <v>1195</v>
      </c>
      <c r="D283" s="72"/>
      <c r="E283" s="120" t="s">
        <v>903</v>
      </c>
      <c r="F283" s="120"/>
      <c r="G283" s="132" t="s">
        <v>418</v>
      </c>
      <c r="H283" s="132" t="s">
        <v>520</v>
      </c>
      <c r="I283" s="132" t="s">
        <v>108</v>
      </c>
      <c r="J283" s="133" t="s">
        <v>419</v>
      </c>
      <c r="K283" s="134" t="s">
        <v>594</v>
      </c>
      <c r="L283" s="307">
        <f t="shared" si="42"/>
        <v>14382.92</v>
      </c>
      <c r="M283" s="308"/>
      <c r="N283" s="308">
        <v>14382.92</v>
      </c>
      <c r="O283" s="296"/>
      <c r="P283" s="296"/>
      <c r="Q283" s="296"/>
      <c r="R283" s="84"/>
      <c r="S283" s="70">
        <f t="shared" si="41"/>
        <v>0</v>
      </c>
      <c r="T283" s="70"/>
      <c r="U283" s="70">
        <v>14382.92</v>
      </c>
      <c r="V283" s="9" t="s">
        <v>521</v>
      </c>
      <c r="W283" s="19"/>
      <c r="X283" s="70">
        <v>14382.92</v>
      </c>
      <c r="Y283" s="67">
        <f t="shared" si="44"/>
        <v>0</v>
      </c>
      <c r="Z283" s="52"/>
      <c r="AA283" s="52"/>
      <c r="AB283" s="19"/>
      <c r="AC283" s="24">
        <f t="shared" si="43"/>
        <v>-8138.17</v>
      </c>
      <c r="AD283" s="19"/>
      <c r="AE283" s="19"/>
      <c r="AF283" s="19"/>
      <c r="AG283" s="19"/>
      <c r="AH283" s="19"/>
      <c r="AI283" s="14"/>
      <c r="AJ283" s="139">
        <v>100</v>
      </c>
      <c r="AK283" s="135" t="s">
        <v>271</v>
      </c>
      <c r="AL283" s="136">
        <v>300000</v>
      </c>
      <c r="AM283" s="138">
        <v>100</v>
      </c>
    </row>
    <row r="284" spans="1:39" s="27" customFormat="1" ht="33">
      <c r="A284" s="34" t="s">
        <v>876</v>
      </c>
      <c r="B284" s="34"/>
      <c r="C284" s="72" t="s">
        <v>1195</v>
      </c>
      <c r="D284" s="72"/>
      <c r="E284" s="120" t="s">
        <v>904</v>
      </c>
      <c r="F284" s="120"/>
      <c r="G284" s="132" t="s">
        <v>418</v>
      </c>
      <c r="H284" s="132" t="s">
        <v>520</v>
      </c>
      <c r="I284" s="132" t="s">
        <v>108</v>
      </c>
      <c r="J284" s="133" t="s">
        <v>419</v>
      </c>
      <c r="K284" s="134" t="s">
        <v>595</v>
      </c>
      <c r="L284" s="307">
        <f t="shared" si="42"/>
        <v>6244.75</v>
      </c>
      <c r="M284" s="308"/>
      <c r="N284" s="308">
        <v>6244.75</v>
      </c>
      <c r="O284" s="296"/>
      <c r="P284" s="296"/>
      <c r="Q284" s="296"/>
      <c r="R284" s="84"/>
      <c r="S284" s="70">
        <f t="shared" si="41"/>
        <v>0</v>
      </c>
      <c r="T284" s="70"/>
      <c r="U284" s="70">
        <v>6244.75</v>
      </c>
      <c r="V284" s="9" t="s">
        <v>521</v>
      </c>
      <c r="W284" s="19"/>
      <c r="X284" s="70">
        <v>6244.75</v>
      </c>
      <c r="Y284" s="67">
        <f t="shared" si="44"/>
        <v>0</v>
      </c>
      <c r="Z284" s="52"/>
      <c r="AA284" s="52"/>
      <c r="AB284" s="19"/>
      <c r="AC284" s="24">
        <f t="shared" si="43"/>
        <v>885.85999999999967</v>
      </c>
      <c r="AD284" s="19"/>
      <c r="AE284" s="19"/>
      <c r="AF284" s="19"/>
      <c r="AG284" s="19"/>
      <c r="AH284" s="19"/>
      <c r="AI284" s="14"/>
      <c r="AJ284" s="139">
        <v>100</v>
      </c>
      <c r="AK284" s="135" t="s">
        <v>271</v>
      </c>
      <c r="AL284" s="136">
        <v>300000</v>
      </c>
      <c r="AM284" s="138">
        <v>100</v>
      </c>
    </row>
    <row r="285" spans="1:39" s="27" customFormat="1" ht="49.5">
      <c r="A285" s="34" t="s">
        <v>876</v>
      </c>
      <c r="B285" s="34"/>
      <c r="C285" s="72" t="s">
        <v>1195</v>
      </c>
      <c r="D285" s="72"/>
      <c r="E285" s="120" t="s">
        <v>904</v>
      </c>
      <c r="F285" s="120"/>
      <c r="G285" s="132" t="s">
        <v>418</v>
      </c>
      <c r="H285" s="132" t="s">
        <v>520</v>
      </c>
      <c r="I285" s="132" t="s">
        <v>108</v>
      </c>
      <c r="J285" s="133" t="s">
        <v>419</v>
      </c>
      <c r="K285" s="134" t="s">
        <v>974</v>
      </c>
      <c r="L285" s="307">
        <f t="shared" si="42"/>
        <v>7130.61</v>
      </c>
      <c r="M285" s="308"/>
      <c r="N285" s="308">
        <v>7130.61</v>
      </c>
      <c r="O285" s="296"/>
      <c r="P285" s="296"/>
      <c r="Q285" s="296"/>
      <c r="R285" s="84"/>
      <c r="S285" s="70">
        <f t="shared" si="41"/>
        <v>0</v>
      </c>
      <c r="T285" s="70"/>
      <c r="U285" s="70">
        <v>7130.61</v>
      </c>
      <c r="V285" s="9" t="s">
        <v>521</v>
      </c>
      <c r="W285" s="19"/>
      <c r="X285" s="70">
        <v>7130.61</v>
      </c>
      <c r="Y285" s="67">
        <f t="shared" si="44"/>
        <v>0</v>
      </c>
      <c r="Z285" s="52"/>
      <c r="AA285" s="52"/>
      <c r="AB285" s="19"/>
      <c r="AC285" s="24">
        <f t="shared" si="43"/>
        <v>1026.3900000000003</v>
      </c>
      <c r="AD285" s="19"/>
      <c r="AE285" s="19"/>
      <c r="AF285" s="19"/>
      <c r="AG285" s="19"/>
      <c r="AH285" s="19"/>
      <c r="AI285" s="14"/>
      <c r="AJ285" s="139">
        <v>100</v>
      </c>
      <c r="AK285" s="135" t="s">
        <v>271</v>
      </c>
      <c r="AL285" s="136">
        <v>300000</v>
      </c>
      <c r="AM285" s="138">
        <v>100</v>
      </c>
    </row>
    <row r="286" spans="1:39" s="27" customFormat="1" ht="33">
      <c r="A286" s="34" t="s">
        <v>876</v>
      </c>
      <c r="B286" s="34"/>
      <c r="C286" s="72" t="s">
        <v>1195</v>
      </c>
      <c r="D286" s="72"/>
      <c r="E286" s="120" t="s">
        <v>904</v>
      </c>
      <c r="F286" s="120"/>
      <c r="G286" s="132" t="s">
        <v>418</v>
      </c>
      <c r="H286" s="132" t="s">
        <v>520</v>
      </c>
      <c r="I286" s="132" t="s">
        <v>108</v>
      </c>
      <c r="J286" s="133" t="s">
        <v>419</v>
      </c>
      <c r="K286" s="134" t="s">
        <v>975</v>
      </c>
      <c r="L286" s="307">
        <f t="shared" si="42"/>
        <v>8157</v>
      </c>
      <c r="M286" s="308"/>
      <c r="N286" s="308">
        <v>8157</v>
      </c>
      <c r="O286" s="296"/>
      <c r="P286" s="296"/>
      <c r="Q286" s="296"/>
      <c r="R286" s="84"/>
      <c r="S286" s="70">
        <f t="shared" si="41"/>
        <v>0</v>
      </c>
      <c r="T286" s="70"/>
      <c r="U286" s="70">
        <v>8157</v>
      </c>
      <c r="V286" s="9" t="s">
        <v>521</v>
      </c>
      <c r="W286" s="19"/>
      <c r="X286" s="70">
        <v>8157</v>
      </c>
      <c r="Y286" s="67">
        <f t="shared" si="44"/>
        <v>0</v>
      </c>
      <c r="Z286" s="52"/>
      <c r="AA286" s="52"/>
      <c r="AB286" s="19"/>
      <c r="AC286" s="24">
        <f t="shared" si="43"/>
        <v>106761</v>
      </c>
      <c r="AD286" s="19"/>
      <c r="AE286" s="19"/>
      <c r="AF286" s="19"/>
      <c r="AG286" s="19"/>
      <c r="AH286" s="19"/>
      <c r="AI286" s="14"/>
      <c r="AJ286" s="139">
        <v>100</v>
      </c>
      <c r="AK286" s="135" t="s">
        <v>271</v>
      </c>
      <c r="AL286" s="136">
        <v>300000</v>
      </c>
      <c r="AM286" s="138">
        <v>100</v>
      </c>
    </row>
    <row r="287" spans="1:39" s="27" customFormat="1" ht="33">
      <c r="A287" s="34" t="s">
        <v>876</v>
      </c>
      <c r="B287" s="34"/>
      <c r="C287" s="72" t="s">
        <v>1195</v>
      </c>
      <c r="D287" s="72"/>
      <c r="E287" s="120" t="s">
        <v>904</v>
      </c>
      <c r="F287" s="120"/>
      <c r="G287" s="132" t="s">
        <v>418</v>
      </c>
      <c r="H287" s="132" t="s">
        <v>520</v>
      </c>
      <c r="I287" s="132" t="s">
        <v>108</v>
      </c>
      <c r="J287" s="133" t="s">
        <v>419</v>
      </c>
      <c r="K287" s="134" t="s">
        <v>976</v>
      </c>
      <c r="L287" s="307">
        <f t="shared" si="42"/>
        <v>114918</v>
      </c>
      <c r="M287" s="308"/>
      <c r="N287" s="308">
        <v>114918</v>
      </c>
      <c r="O287" s="296"/>
      <c r="P287" s="296"/>
      <c r="Q287" s="296"/>
      <c r="R287" s="84"/>
      <c r="S287" s="70">
        <f t="shared" si="41"/>
        <v>0</v>
      </c>
      <c r="T287" s="70"/>
      <c r="U287" s="70">
        <v>114918</v>
      </c>
      <c r="V287" s="9" t="s">
        <v>521</v>
      </c>
      <c r="W287" s="19"/>
      <c r="X287" s="70">
        <v>114918</v>
      </c>
      <c r="Y287" s="67">
        <f t="shared" si="44"/>
        <v>0</v>
      </c>
      <c r="Z287" s="52"/>
      <c r="AA287" s="52"/>
      <c r="AB287" s="19"/>
      <c r="AC287" s="24">
        <f t="shared" si="43"/>
        <v>-107658</v>
      </c>
      <c r="AD287" s="19"/>
      <c r="AE287" s="19"/>
      <c r="AF287" s="19"/>
      <c r="AG287" s="19"/>
      <c r="AH287" s="19"/>
      <c r="AI287" s="14"/>
      <c r="AJ287" s="139">
        <v>100</v>
      </c>
      <c r="AK287" s="135" t="s">
        <v>271</v>
      </c>
      <c r="AL287" s="136">
        <v>300000</v>
      </c>
      <c r="AM287" s="138">
        <v>100</v>
      </c>
    </row>
    <row r="288" spans="1:39" s="27" customFormat="1" ht="33">
      <c r="A288" s="34" t="s">
        <v>876</v>
      </c>
      <c r="B288" s="34"/>
      <c r="C288" s="72" t="s">
        <v>1195</v>
      </c>
      <c r="D288" s="72"/>
      <c r="E288" s="120" t="s">
        <v>904</v>
      </c>
      <c r="F288" s="120"/>
      <c r="G288" s="132" t="s">
        <v>418</v>
      </c>
      <c r="H288" s="132" t="s">
        <v>520</v>
      </c>
      <c r="I288" s="132" t="s">
        <v>108</v>
      </c>
      <c r="J288" s="133" t="s">
        <v>419</v>
      </c>
      <c r="K288" s="134" t="s">
        <v>766</v>
      </c>
      <c r="L288" s="307">
        <f t="shared" si="42"/>
        <v>7260</v>
      </c>
      <c r="M288" s="308"/>
      <c r="N288" s="308">
        <v>7260</v>
      </c>
      <c r="O288" s="296"/>
      <c r="P288" s="296"/>
      <c r="Q288" s="296"/>
      <c r="R288" s="84"/>
      <c r="S288" s="70">
        <f t="shared" si="41"/>
        <v>0</v>
      </c>
      <c r="T288" s="70"/>
      <c r="U288" s="70">
        <v>7260</v>
      </c>
      <c r="V288" s="9" t="s">
        <v>521</v>
      </c>
      <c r="W288" s="19"/>
      <c r="X288" s="70">
        <v>7260</v>
      </c>
      <c r="Y288" s="67">
        <f t="shared" si="44"/>
        <v>0</v>
      </c>
      <c r="Z288" s="52"/>
      <c r="AA288" s="52"/>
      <c r="AB288" s="19"/>
      <c r="AC288" s="24">
        <f t="shared" si="43"/>
        <v>-3370.31</v>
      </c>
      <c r="AD288" s="19"/>
      <c r="AE288" s="19"/>
      <c r="AF288" s="19"/>
      <c r="AG288" s="19"/>
      <c r="AH288" s="19"/>
      <c r="AI288" s="14"/>
      <c r="AJ288" s="139">
        <v>100</v>
      </c>
      <c r="AK288" s="135" t="s">
        <v>271</v>
      </c>
      <c r="AL288" s="136">
        <v>300000</v>
      </c>
      <c r="AM288" s="138">
        <v>100</v>
      </c>
    </row>
    <row r="289" spans="1:39" s="27" customFormat="1" ht="33">
      <c r="A289" s="34" t="s">
        <v>876</v>
      </c>
      <c r="B289" s="34"/>
      <c r="C289" s="72" t="s">
        <v>1195</v>
      </c>
      <c r="D289" s="72"/>
      <c r="E289" s="120" t="s">
        <v>903</v>
      </c>
      <c r="F289" s="120"/>
      <c r="G289" s="132" t="s">
        <v>418</v>
      </c>
      <c r="H289" s="132" t="s">
        <v>520</v>
      </c>
      <c r="I289" s="132" t="s">
        <v>108</v>
      </c>
      <c r="J289" s="133" t="s">
        <v>419</v>
      </c>
      <c r="K289" s="134" t="s">
        <v>1091</v>
      </c>
      <c r="L289" s="307">
        <f t="shared" si="42"/>
        <v>3889.69</v>
      </c>
      <c r="M289" s="308"/>
      <c r="N289" s="308">
        <v>3889.69</v>
      </c>
      <c r="O289" s="296"/>
      <c r="P289" s="296"/>
      <c r="Q289" s="296"/>
      <c r="R289" s="84"/>
      <c r="S289" s="70">
        <f t="shared" si="41"/>
        <v>0</v>
      </c>
      <c r="T289" s="70"/>
      <c r="U289" s="70">
        <v>3889.69</v>
      </c>
      <c r="V289" s="9" t="s">
        <v>521</v>
      </c>
      <c r="W289" s="19"/>
      <c r="X289" s="70">
        <v>3889.69</v>
      </c>
      <c r="Y289" s="67">
        <f t="shared" si="44"/>
        <v>0</v>
      </c>
      <c r="Z289" s="52"/>
      <c r="AA289" s="52"/>
      <c r="AB289" s="19"/>
      <c r="AC289" s="24">
        <f t="shared" si="43"/>
        <v>10569.619999999999</v>
      </c>
      <c r="AD289" s="19"/>
      <c r="AE289" s="19"/>
      <c r="AF289" s="19"/>
      <c r="AG289" s="19"/>
      <c r="AH289" s="19"/>
      <c r="AI289" s="14"/>
      <c r="AJ289" s="139">
        <v>100</v>
      </c>
      <c r="AK289" s="135" t="s">
        <v>271</v>
      </c>
      <c r="AL289" s="136">
        <v>300000</v>
      </c>
      <c r="AM289" s="138">
        <v>100</v>
      </c>
    </row>
    <row r="290" spans="1:39" s="27" customFormat="1" ht="49.5">
      <c r="A290" s="34" t="s">
        <v>876</v>
      </c>
      <c r="B290" s="34"/>
      <c r="C290" s="72" t="s">
        <v>1195</v>
      </c>
      <c r="D290" s="72"/>
      <c r="E290" s="120" t="s">
        <v>906</v>
      </c>
      <c r="F290" s="120"/>
      <c r="G290" s="132" t="s">
        <v>418</v>
      </c>
      <c r="H290" s="132" t="s">
        <v>520</v>
      </c>
      <c r="I290" s="132" t="s">
        <v>108</v>
      </c>
      <c r="J290" s="133" t="s">
        <v>419</v>
      </c>
      <c r="K290" s="134" t="s">
        <v>835</v>
      </c>
      <c r="L290" s="307">
        <f t="shared" si="42"/>
        <v>14459.31</v>
      </c>
      <c r="M290" s="308"/>
      <c r="N290" s="308">
        <v>14459.31</v>
      </c>
      <c r="O290" s="296"/>
      <c r="P290" s="296"/>
      <c r="Q290" s="296"/>
      <c r="R290" s="84"/>
      <c r="S290" s="70">
        <f t="shared" si="41"/>
        <v>0</v>
      </c>
      <c r="T290" s="70"/>
      <c r="U290" s="70">
        <v>14459.31</v>
      </c>
      <c r="V290" s="9" t="s">
        <v>758</v>
      </c>
      <c r="W290" s="19"/>
      <c r="X290" s="70">
        <v>14459.31</v>
      </c>
      <c r="Y290" s="67">
        <f t="shared" si="44"/>
        <v>0</v>
      </c>
      <c r="Z290" s="52"/>
      <c r="AA290" s="52"/>
      <c r="AB290" s="19"/>
      <c r="AC290" s="24">
        <f t="shared" si="43"/>
        <v>-11477.31</v>
      </c>
      <c r="AD290" s="19"/>
      <c r="AE290" s="19"/>
      <c r="AF290" s="19"/>
      <c r="AG290" s="19"/>
      <c r="AH290" s="19"/>
      <c r="AI290" s="14"/>
      <c r="AJ290" s="139">
        <v>100</v>
      </c>
      <c r="AK290" s="135" t="s">
        <v>271</v>
      </c>
      <c r="AL290" s="136">
        <v>300000</v>
      </c>
      <c r="AM290" s="138">
        <v>100</v>
      </c>
    </row>
    <row r="291" spans="1:39" s="27" customFormat="1" ht="33">
      <c r="A291" s="34" t="s">
        <v>876</v>
      </c>
      <c r="B291" s="34"/>
      <c r="C291" s="72" t="s">
        <v>1195</v>
      </c>
      <c r="D291" s="72"/>
      <c r="E291" s="120" t="s">
        <v>903</v>
      </c>
      <c r="F291" s="120"/>
      <c r="G291" s="132" t="s">
        <v>418</v>
      </c>
      <c r="H291" s="132" t="s">
        <v>520</v>
      </c>
      <c r="I291" s="132" t="s">
        <v>108</v>
      </c>
      <c r="J291" s="133" t="s">
        <v>419</v>
      </c>
      <c r="K291" s="134" t="s">
        <v>596</v>
      </c>
      <c r="L291" s="307">
        <f t="shared" si="42"/>
        <v>2982</v>
      </c>
      <c r="M291" s="308"/>
      <c r="N291" s="308">
        <v>2982</v>
      </c>
      <c r="O291" s="296"/>
      <c r="P291" s="296"/>
      <c r="Q291" s="296"/>
      <c r="R291" s="84"/>
      <c r="S291" s="70">
        <f t="shared" si="41"/>
        <v>0</v>
      </c>
      <c r="T291" s="70"/>
      <c r="U291" s="70">
        <v>2982</v>
      </c>
      <c r="V291" s="9" t="s">
        <v>521</v>
      </c>
      <c r="W291" s="19"/>
      <c r="X291" s="70">
        <v>2982</v>
      </c>
      <c r="Y291" s="67">
        <f t="shared" si="44"/>
        <v>0</v>
      </c>
      <c r="Z291" s="52"/>
      <c r="AA291" s="52"/>
      <c r="AB291" s="19"/>
      <c r="AC291" s="24">
        <f t="shared" si="43"/>
        <v>373.19999999999982</v>
      </c>
      <c r="AD291" s="19"/>
      <c r="AE291" s="19"/>
      <c r="AF291" s="19"/>
      <c r="AG291" s="19"/>
      <c r="AH291" s="19"/>
      <c r="AI291" s="14"/>
      <c r="AJ291" s="139">
        <v>100</v>
      </c>
      <c r="AK291" s="135" t="s">
        <v>271</v>
      </c>
      <c r="AL291" s="136">
        <v>300000</v>
      </c>
      <c r="AM291" s="138">
        <v>100</v>
      </c>
    </row>
    <row r="292" spans="1:39" s="27" customFormat="1" ht="33">
      <c r="A292" s="34" t="s">
        <v>876</v>
      </c>
      <c r="B292" s="34"/>
      <c r="C292" s="72" t="s">
        <v>1195</v>
      </c>
      <c r="D292" s="72"/>
      <c r="E292" s="120" t="s">
        <v>906</v>
      </c>
      <c r="F292" s="120"/>
      <c r="G292" s="132" t="s">
        <v>418</v>
      </c>
      <c r="H292" s="132" t="s">
        <v>520</v>
      </c>
      <c r="I292" s="132" t="s">
        <v>108</v>
      </c>
      <c r="J292" s="133" t="s">
        <v>419</v>
      </c>
      <c r="K292" s="134" t="s">
        <v>836</v>
      </c>
      <c r="L292" s="307">
        <f t="shared" si="42"/>
        <v>3355.2</v>
      </c>
      <c r="M292" s="308"/>
      <c r="N292" s="308">
        <v>3355.2</v>
      </c>
      <c r="O292" s="296"/>
      <c r="P292" s="296"/>
      <c r="Q292" s="296"/>
      <c r="R292" s="84"/>
      <c r="S292" s="70">
        <f t="shared" si="41"/>
        <v>0</v>
      </c>
      <c r="T292" s="70"/>
      <c r="U292" s="70">
        <v>3355.2</v>
      </c>
      <c r="V292" s="9" t="s">
        <v>521</v>
      </c>
      <c r="W292" s="19"/>
      <c r="X292" s="70">
        <v>3355.2</v>
      </c>
      <c r="Y292" s="67">
        <f t="shared" si="44"/>
        <v>0</v>
      </c>
      <c r="Z292" s="52"/>
      <c r="AA292" s="52"/>
      <c r="AB292" s="19"/>
      <c r="AC292" s="24">
        <f t="shared" si="43"/>
        <v>20380.66</v>
      </c>
      <c r="AD292" s="19"/>
      <c r="AE292" s="19"/>
      <c r="AF292" s="19"/>
      <c r="AG292" s="19"/>
      <c r="AH292" s="19"/>
      <c r="AI292" s="14"/>
      <c r="AJ292" s="139">
        <v>100</v>
      </c>
      <c r="AK292" s="135" t="s">
        <v>271</v>
      </c>
      <c r="AL292" s="136">
        <v>300000</v>
      </c>
      <c r="AM292" s="138">
        <v>100</v>
      </c>
    </row>
    <row r="293" spans="1:39" s="27" customFormat="1" ht="33">
      <c r="A293" s="34" t="s">
        <v>876</v>
      </c>
      <c r="B293" s="34"/>
      <c r="C293" s="72" t="s">
        <v>1195</v>
      </c>
      <c r="D293" s="72"/>
      <c r="E293" s="120" t="s">
        <v>906</v>
      </c>
      <c r="F293" s="120"/>
      <c r="G293" s="132" t="s">
        <v>418</v>
      </c>
      <c r="H293" s="132" t="s">
        <v>520</v>
      </c>
      <c r="I293" s="132" t="s">
        <v>108</v>
      </c>
      <c r="J293" s="133" t="s">
        <v>419</v>
      </c>
      <c r="K293" s="134" t="s">
        <v>837</v>
      </c>
      <c r="L293" s="307">
        <f t="shared" si="42"/>
        <v>23735.86</v>
      </c>
      <c r="M293" s="308"/>
      <c r="N293" s="308">
        <v>23735.86</v>
      </c>
      <c r="O293" s="296"/>
      <c r="P293" s="296"/>
      <c r="Q293" s="296"/>
      <c r="R293" s="84"/>
      <c r="S293" s="70">
        <f t="shared" si="41"/>
        <v>0</v>
      </c>
      <c r="T293" s="70"/>
      <c r="U293" s="70">
        <v>23735.86</v>
      </c>
      <c r="V293" s="9" t="s">
        <v>521</v>
      </c>
      <c r="W293" s="19"/>
      <c r="X293" s="70">
        <v>23735.86</v>
      </c>
      <c r="Y293" s="67">
        <f t="shared" si="44"/>
        <v>0</v>
      </c>
      <c r="Z293" s="52"/>
      <c r="AA293" s="52"/>
      <c r="AB293" s="19"/>
      <c r="AC293" s="24">
        <f t="shared" si="43"/>
        <v>-3362.8600000000006</v>
      </c>
      <c r="AD293" s="19"/>
      <c r="AE293" s="19"/>
      <c r="AF293" s="19"/>
      <c r="AG293" s="19"/>
      <c r="AH293" s="19"/>
      <c r="AI293" s="14"/>
      <c r="AJ293" s="139">
        <v>100</v>
      </c>
      <c r="AK293" s="135" t="s">
        <v>271</v>
      </c>
      <c r="AL293" s="136">
        <v>300000</v>
      </c>
      <c r="AM293" s="138">
        <v>100</v>
      </c>
    </row>
    <row r="294" spans="1:39" s="27" customFormat="1" ht="33">
      <c r="A294" s="34" t="s">
        <v>876</v>
      </c>
      <c r="B294" s="34"/>
      <c r="C294" s="72" t="s">
        <v>1195</v>
      </c>
      <c r="D294" s="72"/>
      <c r="E294" s="120" t="s">
        <v>902</v>
      </c>
      <c r="F294" s="120"/>
      <c r="G294" s="132" t="s">
        <v>418</v>
      </c>
      <c r="H294" s="132" t="s">
        <v>520</v>
      </c>
      <c r="I294" s="132" t="s">
        <v>108</v>
      </c>
      <c r="J294" s="133" t="s">
        <v>419</v>
      </c>
      <c r="K294" s="134" t="s">
        <v>1092</v>
      </c>
      <c r="L294" s="307">
        <f t="shared" si="42"/>
        <v>20373</v>
      </c>
      <c r="M294" s="308"/>
      <c r="N294" s="308">
        <v>20373</v>
      </c>
      <c r="O294" s="296"/>
      <c r="P294" s="296"/>
      <c r="Q294" s="296"/>
      <c r="R294" s="84"/>
      <c r="S294" s="70">
        <f t="shared" si="41"/>
        <v>0</v>
      </c>
      <c r="T294" s="70"/>
      <c r="U294" s="70">
        <v>20373</v>
      </c>
      <c r="V294" s="9" t="s">
        <v>521</v>
      </c>
      <c r="W294" s="19"/>
      <c r="X294" s="70">
        <v>20373</v>
      </c>
      <c r="Y294" s="67">
        <f t="shared" si="44"/>
        <v>0</v>
      </c>
      <c r="Z294" s="52"/>
      <c r="AA294" s="52"/>
      <c r="AB294" s="19"/>
      <c r="AC294" s="24">
        <f t="shared" ref="AC294:AC325" si="45">X295+Y295+AB294-N294</f>
        <v>-19359.349999999999</v>
      </c>
      <c r="AD294" s="19"/>
      <c r="AE294" s="19"/>
      <c r="AF294" s="19"/>
      <c r="AG294" s="19"/>
      <c r="AH294" s="19"/>
      <c r="AI294" s="14"/>
      <c r="AJ294" s="139">
        <v>100</v>
      </c>
      <c r="AK294" s="135" t="s">
        <v>271</v>
      </c>
      <c r="AL294" s="136">
        <v>300000</v>
      </c>
      <c r="AM294" s="138">
        <v>100</v>
      </c>
    </row>
    <row r="295" spans="1:39" s="27" customFormat="1" ht="34.5" customHeight="1">
      <c r="A295" s="34" t="s">
        <v>876</v>
      </c>
      <c r="B295" s="34"/>
      <c r="C295" s="72" t="s">
        <v>1195</v>
      </c>
      <c r="D295" s="72"/>
      <c r="E295" s="120" t="s">
        <v>905</v>
      </c>
      <c r="F295" s="120"/>
      <c r="G295" s="132" t="s">
        <v>418</v>
      </c>
      <c r="H295" s="132" t="s">
        <v>520</v>
      </c>
      <c r="I295" s="132" t="s">
        <v>108</v>
      </c>
      <c r="J295" s="133" t="s">
        <v>419</v>
      </c>
      <c r="K295" s="134" t="s">
        <v>597</v>
      </c>
      <c r="L295" s="307">
        <f t="shared" si="42"/>
        <v>1013.65</v>
      </c>
      <c r="M295" s="308"/>
      <c r="N295" s="308">
        <v>1013.65</v>
      </c>
      <c r="O295" s="296"/>
      <c r="P295" s="296"/>
      <c r="Q295" s="296"/>
      <c r="R295" s="84"/>
      <c r="S295" s="70">
        <f t="shared" si="41"/>
        <v>0</v>
      </c>
      <c r="T295" s="70"/>
      <c r="U295" s="70">
        <v>1013.65</v>
      </c>
      <c r="V295" s="9" t="s">
        <v>758</v>
      </c>
      <c r="W295" s="19" t="s">
        <v>273</v>
      </c>
      <c r="X295" s="70">
        <v>1013.65</v>
      </c>
      <c r="Y295" s="67">
        <f t="shared" si="44"/>
        <v>0</v>
      </c>
      <c r="Z295" s="52"/>
      <c r="AA295" s="52"/>
      <c r="AB295" s="19"/>
      <c r="AC295" s="24">
        <f t="shared" si="45"/>
        <v>277128.69999999995</v>
      </c>
      <c r="AD295" s="19"/>
      <c r="AE295" s="19"/>
      <c r="AF295" s="19"/>
      <c r="AG295" s="19"/>
      <c r="AH295" s="19"/>
      <c r="AI295" s="14"/>
      <c r="AJ295" s="139">
        <v>100</v>
      </c>
      <c r="AK295" s="135" t="s">
        <v>271</v>
      </c>
      <c r="AL295" s="136">
        <v>300000</v>
      </c>
      <c r="AM295" s="138">
        <v>100</v>
      </c>
    </row>
    <row r="296" spans="1:39" s="27" customFormat="1" ht="33">
      <c r="A296" s="34" t="s">
        <v>876</v>
      </c>
      <c r="B296" s="34"/>
      <c r="C296" s="72" t="s">
        <v>1195</v>
      </c>
      <c r="D296" s="72"/>
      <c r="E296" s="120" t="s">
        <v>905</v>
      </c>
      <c r="F296" s="120"/>
      <c r="G296" s="132" t="s">
        <v>418</v>
      </c>
      <c r="H296" s="132" t="s">
        <v>520</v>
      </c>
      <c r="I296" s="132" t="s">
        <v>108</v>
      </c>
      <c r="J296" s="133" t="s">
        <v>419</v>
      </c>
      <c r="K296" s="134" t="s">
        <v>767</v>
      </c>
      <c r="L296" s="307">
        <f t="shared" si="42"/>
        <v>278142.34999999998</v>
      </c>
      <c r="M296" s="308"/>
      <c r="N296" s="308">
        <v>278142.34999999998</v>
      </c>
      <c r="O296" s="296"/>
      <c r="P296" s="296"/>
      <c r="Q296" s="296"/>
      <c r="R296" s="84"/>
      <c r="S296" s="70">
        <f t="shared" ref="S296:S359" si="46">N296-U296</f>
        <v>0</v>
      </c>
      <c r="T296" s="70"/>
      <c r="U296" s="70">
        <v>278142.34999999998</v>
      </c>
      <c r="V296" s="9" t="s">
        <v>756</v>
      </c>
      <c r="W296" s="19" t="s">
        <v>273</v>
      </c>
      <c r="X296" s="70">
        <v>278142.34999999998</v>
      </c>
      <c r="Y296" s="67">
        <f t="shared" si="44"/>
        <v>0</v>
      </c>
      <c r="Z296" s="52"/>
      <c r="AA296" s="52"/>
      <c r="AB296" s="19">
        <v>200000</v>
      </c>
      <c r="AC296" s="24">
        <f t="shared" si="45"/>
        <v>-69184.839999999967</v>
      </c>
      <c r="AD296" s="19"/>
      <c r="AE296" s="19"/>
      <c r="AF296" s="19"/>
      <c r="AG296" s="19"/>
      <c r="AH296" s="19"/>
      <c r="AI296" s="14"/>
      <c r="AJ296" s="139">
        <v>100</v>
      </c>
      <c r="AK296" s="135" t="s">
        <v>271</v>
      </c>
      <c r="AL296" s="136">
        <v>300000</v>
      </c>
      <c r="AM296" s="138">
        <v>100</v>
      </c>
    </row>
    <row r="297" spans="1:39" s="27" customFormat="1" ht="33.75" customHeight="1">
      <c r="A297" s="34" t="s">
        <v>876</v>
      </c>
      <c r="B297" s="34"/>
      <c r="C297" s="72" t="s">
        <v>1195</v>
      </c>
      <c r="D297" s="72"/>
      <c r="E297" s="120" t="s">
        <v>905</v>
      </c>
      <c r="F297" s="120"/>
      <c r="G297" s="132" t="s">
        <v>418</v>
      </c>
      <c r="H297" s="132" t="s">
        <v>520</v>
      </c>
      <c r="I297" s="132" t="s">
        <v>108</v>
      </c>
      <c r="J297" s="133" t="s">
        <v>419</v>
      </c>
      <c r="K297" s="134" t="s">
        <v>977</v>
      </c>
      <c r="L297" s="307">
        <f t="shared" si="42"/>
        <v>8957.51</v>
      </c>
      <c r="M297" s="308"/>
      <c r="N297" s="308">
        <v>8957.51</v>
      </c>
      <c r="O297" s="296"/>
      <c r="P297" s="296"/>
      <c r="Q297" s="296"/>
      <c r="R297" s="84"/>
      <c r="S297" s="70">
        <f t="shared" si="46"/>
        <v>0</v>
      </c>
      <c r="T297" s="70"/>
      <c r="U297" s="70">
        <v>8957.51</v>
      </c>
      <c r="V297" s="9" t="s">
        <v>758</v>
      </c>
      <c r="W297" s="19"/>
      <c r="X297" s="70">
        <v>8957.51</v>
      </c>
      <c r="Y297" s="67">
        <f t="shared" si="44"/>
        <v>0</v>
      </c>
      <c r="Z297" s="52"/>
      <c r="AA297" s="52"/>
      <c r="AB297" s="19"/>
      <c r="AC297" s="24">
        <f t="shared" si="45"/>
        <v>2830.1299999999992</v>
      </c>
      <c r="AD297" s="19"/>
      <c r="AE297" s="19"/>
      <c r="AF297" s="19"/>
      <c r="AG297" s="19"/>
      <c r="AH297" s="19"/>
      <c r="AI297" s="14"/>
      <c r="AJ297" s="139">
        <v>100</v>
      </c>
      <c r="AK297" s="135" t="s">
        <v>271</v>
      </c>
      <c r="AL297" s="136">
        <v>300000</v>
      </c>
      <c r="AM297" s="138">
        <v>100</v>
      </c>
    </row>
    <row r="298" spans="1:39" s="27" customFormat="1" ht="33">
      <c r="A298" s="34" t="s">
        <v>876</v>
      </c>
      <c r="B298" s="34"/>
      <c r="C298" s="72" t="s">
        <v>1195</v>
      </c>
      <c r="D298" s="72"/>
      <c r="E298" s="120" t="s">
        <v>904</v>
      </c>
      <c r="F298" s="120"/>
      <c r="G298" s="132" t="s">
        <v>418</v>
      </c>
      <c r="H298" s="132" t="s">
        <v>520</v>
      </c>
      <c r="I298" s="132" t="s">
        <v>108</v>
      </c>
      <c r="J298" s="133" t="s">
        <v>419</v>
      </c>
      <c r="K298" s="134" t="s">
        <v>1054</v>
      </c>
      <c r="L298" s="307">
        <f t="shared" si="42"/>
        <v>11787.64</v>
      </c>
      <c r="M298" s="308"/>
      <c r="N298" s="308">
        <v>11787.64</v>
      </c>
      <c r="O298" s="296"/>
      <c r="P298" s="296"/>
      <c r="Q298" s="296"/>
      <c r="R298" s="84"/>
      <c r="S298" s="70">
        <f t="shared" si="46"/>
        <v>0</v>
      </c>
      <c r="T298" s="70"/>
      <c r="U298" s="70">
        <v>11787.64</v>
      </c>
      <c r="V298" s="9" t="s">
        <v>756</v>
      </c>
      <c r="W298" s="19" t="s">
        <v>273</v>
      </c>
      <c r="X298" s="70">
        <v>11787.64</v>
      </c>
      <c r="Y298" s="67">
        <f t="shared" si="44"/>
        <v>0</v>
      </c>
      <c r="Z298" s="52"/>
      <c r="AA298" s="52"/>
      <c r="AB298" s="19">
        <v>50000</v>
      </c>
      <c r="AC298" s="24">
        <f t="shared" si="45"/>
        <v>370041.99</v>
      </c>
      <c r="AD298" s="19"/>
      <c r="AE298" s="19"/>
      <c r="AF298" s="19"/>
      <c r="AG298" s="19"/>
      <c r="AH298" s="19"/>
      <c r="AI298" s="14"/>
      <c r="AJ298" s="139">
        <v>100</v>
      </c>
      <c r="AK298" s="135" t="s">
        <v>271</v>
      </c>
      <c r="AL298" s="136">
        <v>300000</v>
      </c>
      <c r="AM298" s="138">
        <v>100</v>
      </c>
    </row>
    <row r="299" spans="1:39" s="27" customFormat="1" ht="33">
      <c r="A299" s="34" t="s">
        <v>876</v>
      </c>
      <c r="B299" s="34"/>
      <c r="C299" s="72" t="s">
        <v>1195</v>
      </c>
      <c r="D299" s="72"/>
      <c r="E299" s="120" t="s">
        <v>905</v>
      </c>
      <c r="F299" s="120"/>
      <c r="G299" s="132" t="s">
        <v>418</v>
      </c>
      <c r="H299" s="132" t="s">
        <v>520</v>
      </c>
      <c r="I299" s="132" t="s">
        <v>108</v>
      </c>
      <c r="J299" s="133" t="s">
        <v>419</v>
      </c>
      <c r="K299" s="134" t="s">
        <v>1055</v>
      </c>
      <c r="L299" s="307">
        <f t="shared" si="42"/>
        <v>331829.63</v>
      </c>
      <c r="M299" s="308"/>
      <c r="N299" s="308">
        <v>331829.63</v>
      </c>
      <c r="O299" s="296"/>
      <c r="P299" s="296"/>
      <c r="Q299" s="296"/>
      <c r="R299" s="84"/>
      <c r="S299" s="70">
        <f t="shared" si="46"/>
        <v>0</v>
      </c>
      <c r="T299" s="70"/>
      <c r="U299" s="70">
        <v>331829.63</v>
      </c>
      <c r="V299" s="9" t="s">
        <v>521</v>
      </c>
      <c r="W299" s="19"/>
      <c r="X299" s="70">
        <v>331829.63</v>
      </c>
      <c r="Y299" s="67">
        <f t="shared" si="44"/>
        <v>0</v>
      </c>
      <c r="Z299" s="52"/>
      <c r="AA299" s="52"/>
      <c r="AB299" s="19"/>
      <c r="AC299" s="24">
        <f t="shared" si="45"/>
        <v>-235404.59000000003</v>
      </c>
      <c r="AD299" s="19"/>
      <c r="AE299" s="19"/>
      <c r="AF299" s="19"/>
      <c r="AG299" s="19"/>
      <c r="AH299" s="19"/>
      <c r="AI299" s="14"/>
      <c r="AJ299" s="139">
        <v>100</v>
      </c>
      <c r="AK299" s="135" t="s">
        <v>271</v>
      </c>
      <c r="AL299" s="136">
        <v>500000</v>
      </c>
      <c r="AM299" s="138">
        <v>100</v>
      </c>
    </row>
    <row r="300" spans="1:39" s="27" customFormat="1" ht="33">
      <c r="A300" s="34" t="s">
        <v>876</v>
      </c>
      <c r="B300" s="34"/>
      <c r="C300" s="72" t="s">
        <v>1195</v>
      </c>
      <c r="D300" s="72"/>
      <c r="E300" s="120" t="s">
        <v>906</v>
      </c>
      <c r="F300" s="120"/>
      <c r="G300" s="132" t="s">
        <v>418</v>
      </c>
      <c r="H300" s="132" t="s">
        <v>520</v>
      </c>
      <c r="I300" s="132" t="s">
        <v>108</v>
      </c>
      <c r="J300" s="133" t="s">
        <v>419</v>
      </c>
      <c r="K300" s="134" t="s">
        <v>1258</v>
      </c>
      <c r="L300" s="307">
        <f t="shared" si="42"/>
        <v>96425.04</v>
      </c>
      <c r="M300" s="308"/>
      <c r="N300" s="308">
        <v>96425.04</v>
      </c>
      <c r="O300" s="296"/>
      <c r="P300" s="296"/>
      <c r="Q300" s="296"/>
      <c r="R300" s="84"/>
      <c r="S300" s="70">
        <f t="shared" si="46"/>
        <v>0</v>
      </c>
      <c r="T300" s="70"/>
      <c r="U300" s="70">
        <v>96425.04</v>
      </c>
      <c r="V300" s="9" t="s">
        <v>521</v>
      </c>
      <c r="W300" s="19"/>
      <c r="X300" s="70">
        <v>96425.04</v>
      </c>
      <c r="Y300" s="67">
        <f t="shared" si="44"/>
        <v>0</v>
      </c>
      <c r="Z300" s="52"/>
      <c r="AA300" s="52"/>
      <c r="AB300" s="19"/>
      <c r="AC300" s="24">
        <f t="shared" si="45"/>
        <v>-89738.04</v>
      </c>
      <c r="AD300" s="19"/>
      <c r="AE300" s="19"/>
      <c r="AF300" s="19"/>
      <c r="AG300" s="19"/>
      <c r="AH300" s="19"/>
      <c r="AI300" s="14"/>
      <c r="AJ300" s="139">
        <v>100</v>
      </c>
      <c r="AK300" s="135" t="s">
        <v>271</v>
      </c>
      <c r="AL300" s="136">
        <v>300000</v>
      </c>
      <c r="AM300" s="138">
        <v>100</v>
      </c>
    </row>
    <row r="301" spans="1:39" s="27" customFormat="1" ht="33">
      <c r="A301" s="34" t="s">
        <v>876</v>
      </c>
      <c r="B301" s="34"/>
      <c r="C301" s="72" t="s">
        <v>1195</v>
      </c>
      <c r="D301" s="72"/>
      <c r="E301" s="120" t="s">
        <v>904</v>
      </c>
      <c r="F301" s="120"/>
      <c r="G301" s="132" t="s">
        <v>418</v>
      </c>
      <c r="H301" s="132" t="s">
        <v>520</v>
      </c>
      <c r="I301" s="132" t="s">
        <v>108</v>
      </c>
      <c r="J301" s="133" t="s">
        <v>419</v>
      </c>
      <c r="K301" s="134" t="s">
        <v>978</v>
      </c>
      <c r="L301" s="307">
        <f t="shared" si="42"/>
        <v>6687</v>
      </c>
      <c r="M301" s="308"/>
      <c r="N301" s="308">
        <v>6687</v>
      </c>
      <c r="O301" s="296"/>
      <c r="P301" s="296"/>
      <c r="Q301" s="296"/>
      <c r="R301" s="84"/>
      <c r="S301" s="70">
        <f t="shared" si="46"/>
        <v>0</v>
      </c>
      <c r="T301" s="70"/>
      <c r="U301" s="70">
        <v>6687</v>
      </c>
      <c r="V301" s="9" t="s">
        <v>521</v>
      </c>
      <c r="W301" s="19"/>
      <c r="X301" s="70">
        <v>6687</v>
      </c>
      <c r="Y301" s="67">
        <f t="shared" si="44"/>
        <v>0</v>
      </c>
      <c r="Z301" s="52"/>
      <c r="AA301" s="52"/>
      <c r="AB301" s="19"/>
      <c r="AC301" s="24">
        <f t="shared" si="45"/>
        <v>-3877.8</v>
      </c>
      <c r="AD301" s="19"/>
      <c r="AE301" s="19"/>
      <c r="AF301" s="19"/>
      <c r="AG301" s="19"/>
      <c r="AH301" s="19"/>
      <c r="AI301" s="14"/>
      <c r="AJ301" s="139">
        <v>100</v>
      </c>
      <c r="AK301" s="135" t="s">
        <v>271</v>
      </c>
      <c r="AL301" s="136">
        <v>300000</v>
      </c>
      <c r="AM301" s="138">
        <v>100</v>
      </c>
    </row>
    <row r="302" spans="1:39" s="27" customFormat="1" ht="33">
      <c r="A302" s="34" t="s">
        <v>876</v>
      </c>
      <c r="B302" s="34"/>
      <c r="C302" s="72" t="s">
        <v>1195</v>
      </c>
      <c r="D302" s="72"/>
      <c r="E302" s="120" t="s">
        <v>905</v>
      </c>
      <c r="F302" s="120"/>
      <c r="G302" s="132" t="s">
        <v>418</v>
      </c>
      <c r="H302" s="132" t="s">
        <v>520</v>
      </c>
      <c r="I302" s="132" t="s">
        <v>108</v>
      </c>
      <c r="J302" s="133" t="s">
        <v>419</v>
      </c>
      <c r="K302" s="134" t="s">
        <v>600</v>
      </c>
      <c r="L302" s="307">
        <f t="shared" si="42"/>
        <v>2809.2</v>
      </c>
      <c r="M302" s="308"/>
      <c r="N302" s="308">
        <v>2809.2</v>
      </c>
      <c r="O302" s="296"/>
      <c r="P302" s="296"/>
      <c r="Q302" s="296"/>
      <c r="R302" s="84"/>
      <c r="S302" s="70">
        <f t="shared" si="46"/>
        <v>0</v>
      </c>
      <c r="T302" s="70"/>
      <c r="U302" s="70">
        <v>2809.2</v>
      </c>
      <c r="V302" s="9" t="s">
        <v>521</v>
      </c>
      <c r="W302" s="19"/>
      <c r="X302" s="70">
        <v>2809.2</v>
      </c>
      <c r="Y302" s="67">
        <f t="shared" si="44"/>
        <v>0</v>
      </c>
      <c r="Z302" s="52"/>
      <c r="AA302" s="52"/>
      <c r="AB302" s="19"/>
      <c r="AC302" s="24">
        <f t="shared" si="45"/>
        <v>20626.719999999998</v>
      </c>
      <c r="AD302" s="19"/>
      <c r="AE302" s="19"/>
      <c r="AF302" s="19"/>
      <c r="AG302" s="19"/>
      <c r="AH302" s="19"/>
      <c r="AI302" s="14"/>
      <c r="AJ302" s="139">
        <v>100</v>
      </c>
      <c r="AK302" s="135" t="s">
        <v>271</v>
      </c>
      <c r="AL302" s="136">
        <v>300000</v>
      </c>
      <c r="AM302" s="138">
        <v>100</v>
      </c>
    </row>
    <row r="303" spans="1:39" s="27" customFormat="1" ht="33">
      <c r="A303" s="34" t="s">
        <v>876</v>
      </c>
      <c r="B303" s="34"/>
      <c r="C303" s="72" t="s">
        <v>1195</v>
      </c>
      <c r="D303" s="72"/>
      <c r="E303" s="120" t="s">
        <v>902</v>
      </c>
      <c r="F303" s="120"/>
      <c r="G303" s="132" t="s">
        <v>418</v>
      </c>
      <c r="H303" s="132" t="s">
        <v>520</v>
      </c>
      <c r="I303" s="132" t="s">
        <v>108</v>
      </c>
      <c r="J303" s="133" t="s">
        <v>419</v>
      </c>
      <c r="K303" s="134" t="s">
        <v>601</v>
      </c>
      <c r="L303" s="307">
        <f t="shared" si="42"/>
        <v>23435.919999999998</v>
      </c>
      <c r="M303" s="308"/>
      <c r="N303" s="308">
        <v>23435.919999999998</v>
      </c>
      <c r="O303" s="296"/>
      <c r="P303" s="296"/>
      <c r="Q303" s="296"/>
      <c r="R303" s="84"/>
      <c r="S303" s="70">
        <f t="shared" si="46"/>
        <v>0</v>
      </c>
      <c r="T303" s="70"/>
      <c r="U303" s="70">
        <v>23435.919999999998</v>
      </c>
      <c r="V303" s="9" t="s">
        <v>521</v>
      </c>
      <c r="W303" s="19"/>
      <c r="X303" s="70">
        <v>23435.919999999998</v>
      </c>
      <c r="Y303" s="67">
        <f t="shared" si="44"/>
        <v>0</v>
      </c>
      <c r="Z303" s="52"/>
      <c r="AA303" s="52"/>
      <c r="AB303" s="19"/>
      <c r="AC303" s="24">
        <f t="shared" si="45"/>
        <v>12839.900000000001</v>
      </c>
      <c r="AD303" s="19"/>
      <c r="AE303" s="19"/>
      <c r="AF303" s="19"/>
      <c r="AG303" s="19"/>
      <c r="AH303" s="19"/>
      <c r="AI303" s="14"/>
      <c r="AJ303" s="139">
        <v>100</v>
      </c>
      <c r="AK303" s="135" t="s">
        <v>347</v>
      </c>
      <c r="AL303" s="136">
        <v>300000</v>
      </c>
      <c r="AM303" s="138">
        <v>95</v>
      </c>
    </row>
    <row r="304" spans="1:39" s="27" customFormat="1" ht="33">
      <c r="A304" s="34" t="s">
        <v>876</v>
      </c>
      <c r="B304" s="34"/>
      <c r="C304" s="72" t="s">
        <v>1195</v>
      </c>
      <c r="D304" s="72"/>
      <c r="E304" s="120" t="s">
        <v>905</v>
      </c>
      <c r="F304" s="120"/>
      <c r="G304" s="132" t="s">
        <v>418</v>
      </c>
      <c r="H304" s="132" t="s">
        <v>520</v>
      </c>
      <c r="I304" s="132" t="s">
        <v>108</v>
      </c>
      <c r="J304" s="133" t="s">
        <v>419</v>
      </c>
      <c r="K304" s="134" t="s">
        <v>602</v>
      </c>
      <c r="L304" s="307">
        <f t="shared" si="42"/>
        <v>36275.82</v>
      </c>
      <c r="M304" s="308"/>
      <c r="N304" s="308">
        <v>36275.82</v>
      </c>
      <c r="O304" s="296"/>
      <c r="P304" s="296"/>
      <c r="Q304" s="296"/>
      <c r="R304" s="84"/>
      <c r="S304" s="70">
        <f t="shared" si="46"/>
        <v>0</v>
      </c>
      <c r="T304" s="70"/>
      <c r="U304" s="70">
        <v>36275.82</v>
      </c>
      <c r="V304" s="9" t="s">
        <v>521</v>
      </c>
      <c r="W304" s="19"/>
      <c r="X304" s="70">
        <v>36275.82</v>
      </c>
      <c r="Y304" s="67">
        <f t="shared" si="44"/>
        <v>0</v>
      </c>
      <c r="Z304" s="52"/>
      <c r="AA304" s="52"/>
      <c r="AB304" s="19"/>
      <c r="AC304" s="24">
        <f t="shared" si="45"/>
        <v>-21015.32</v>
      </c>
      <c r="AD304" s="19"/>
      <c r="AE304" s="19"/>
      <c r="AF304" s="19"/>
      <c r="AG304" s="19"/>
      <c r="AH304" s="19"/>
      <c r="AI304" s="14"/>
      <c r="AJ304" s="139">
        <v>100</v>
      </c>
      <c r="AK304" s="135" t="s">
        <v>347</v>
      </c>
      <c r="AL304" s="136">
        <v>300000</v>
      </c>
      <c r="AM304" s="138">
        <v>100</v>
      </c>
    </row>
    <row r="305" spans="1:39" s="27" customFormat="1" ht="49.5">
      <c r="A305" s="34" t="s">
        <v>876</v>
      </c>
      <c r="B305" s="34"/>
      <c r="C305" s="72" t="s">
        <v>1195</v>
      </c>
      <c r="D305" s="72"/>
      <c r="E305" s="120" t="s">
        <v>905</v>
      </c>
      <c r="F305" s="120"/>
      <c r="G305" s="132" t="s">
        <v>418</v>
      </c>
      <c r="H305" s="132" t="s">
        <v>520</v>
      </c>
      <c r="I305" s="132" t="s">
        <v>108</v>
      </c>
      <c r="J305" s="133" t="s">
        <v>419</v>
      </c>
      <c r="K305" s="134" t="s">
        <v>838</v>
      </c>
      <c r="L305" s="307">
        <f t="shared" si="42"/>
        <v>15260.5</v>
      </c>
      <c r="M305" s="308"/>
      <c r="N305" s="308">
        <v>15260.5</v>
      </c>
      <c r="O305" s="296"/>
      <c r="P305" s="296"/>
      <c r="Q305" s="296"/>
      <c r="R305" s="84"/>
      <c r="S305" s="70">
        <f t="shared" si="46"/>
        <v>0</v>
      </c>
      <c r="T305" s="70"/>
      <c r="U305" s="70">
        <v>15260.5</v>
      </c>
      <c r="V305" s="9" t="s">
        <v>521</v>
      </c>
      <c r="W305" s="19"/>
      <c r="X305" s="70">
        <v>15260.5</v>
      </c>
      <c r="Y305" s="67">
        <f t="shared" si="44"/>
        <v>0</v>
      </c>
      <c r="Z305" s="52"/>
      <c r="AA305" s="52"/>
      <c r="AB305" s="19"/>
      <c r="AC305" s="24">
        <f t="shared" si="45"/>
        <v>4979.5</v>
      </c>
      <c r="AD305" s="19"/>
      <c r="AE305" s="19"/>
      <c r="AF305" s="19"/>
      <c r="AG305" s="19"/>
      <c r="AH305" s="19"/>
      <c r="AI305" s="14"/>
      <c r="AJ305" s="139">
        <v>100</v>
      </c>
      <c r="AK305" s="135" t="s">
        <v>271</v>
      </c>
      <c r="AL305" s="136">
        <v>300000</v>
      </c>
      <c r="AM305" s="138">
        <v>100</v>
      </c>
    </row>
    <row r="306" spans="1:39" s="27" customFormat="1" ht="33">
      <c r="A306" s="34" t="s">
        <v>876</v>
      </c>
      <c r="B306" s="34"/>
      <c r="C306" s="72" t="s">
        <v>1195</v>
      </c>
      <c r="D306" s="72"/>
      <c r="E306" s="120" t="s">
        <v>904</v>
      </c>
      <c r="F306" s="120"/>
      <c r="G306" s="132" t="s">
        <v>418</v>
      </c>
      <c r="H306" s="132" t="s">
        <v>520</v>
      </c>
      <c r="I306" s="132" t="s">
        <v>108</v>
      </c>
      <c r="J306" s="133" t="s">
        <v>419</v>
      </c>
      <c r="K306" s="134" t="s">
        <v>603</v>
      </c>
      <c r="L306" s="307">
        <f t="shared" si="42"/>
        <v>20240</v>
      </c>
      <c r="M306" s="308"/>
      <c r="N306" s="308">
        <v>20240</v>
      </c>
      <c r="O306" s="296"/>
      <c r="P306" s="296"/>
      <c r="Q306" s="296"/>
      <c r="R306" s="84"/>
      <c r="S306" s="70">
        <f t="shared" si="46"/>
        <v>0</v>
      </c>
      <c r="T306" s="70"/>
      <c r="U306" s="70">
        <v>20240</v>
      </c>
      <c r="V306" s="9" t="s">
        <v>521</v>
      </c>
      <c r="W306" s="19"/>
      <c r="X306" s="70">
        <v>20240</v>
      </c>
      <c r="Y306" s="67">
        <f t="shared" si="44"/>
        <v>0</v>
      </c>
      <c r="Z306" s="52"/>
      <c r="AA306" s="52"/>
      <c r="AB306" s="19"/>
      <c r="AC306" s="24">
        <f t="shared" si="45"/>
        <v>-19663.009999999998</v>
      </c>
      <c r="AD306" s="19"/>
      <c r="AE306" s="19"/>
      <c r="AF306" s="19"/>
      <c r="AG306" s="19"/>
      <c r="AH306" s="19"/>
      <c r="AI306" s="14"/>
      <c r="AJ306" s="139">
        <v>100</v>
      </c>
      <c r="AK306" s="135" t="s">
        <v>752</v>
      </c>
      <c r="AL306" s="136">
        <v>300000</v>
      </c>
      <c r="AM306" s="138">
        <v>100</v>
      </c>
    </row>
    <row r="307" spans="1:39" s="27" customFormat="1" ht="33">
      <c r="A307" s="34" t="s">
        <v>876</v>
      </c>
      <c r="B307" s="34"/>
      <c r="C307" s="72" t="s">
        <v>1195</v>
      </c>
      <c r="D307" s="72"/>
      <c r="E307" s="120" t="s">
        <v>903</v>
      </c>
      <c r="F307" s="120"/>
      <c r="G307" s="132" t="s">
        <v>418</v>
      </c>
      <c r="H307" s="132" t="s">
        <v>520</v>
      </c>
      <c r="I307" s="132" t="s">
        <v>108</v>
      </c>
      <c r="J307" s="133" t="s">
        <v>419</v>
      </c>
      <c r="K307" s="134" t="s">
        <v>604</v>
      </c>
      <c r="L307" s="307">
        <f t="shared" si="42"/>
        <v>576.99</v>
      </c>
      <c r="M307" s="308"/>
      <c r="N307" s="308">
        <v>576.99</v>
      </c>
      <c r="O307" s="296"/>
      <c r="P307" s="296"/>
      <c r="Q307" s="296"/>
      <c r="R307" s="84"/>
      <c r="S307" s="70">
        <f t="shared" si="46"/>
        <v>0</v>
      </c>
      <c r="T307" s="70"/>
      <c r="U307" s="70">
        <v>576.99</v>
      </c>
      <c r="V307" s="9" t="s">
        <v>521</v>
      </c>
      <c r="W307" s="19"/>
      <c r="X307" s="70">
        <v>576.99</v>
      </c>
      <c r="Y307" s="67">
        <f t="shared" si="44"/>
        <v>0</v>
      </c>
      <c r="Z307" s="52"/>
      <c r="AA307" s="52"/>
      <c r="AB307" s="19"/>
      <c r="AC307" s="24">
        <f t="shared" si="45"/>
        <v>1858.09</v>
      </c>
      <c r="AD307" s="19"/>
      <c r="AE307" s="19"/>
      <c r="AF307" s="19"/>
      <c r="AG307" s="19"/>
      <c r="AH307" s="19"/>
      <c r="AI307" s="14"/>
      <c r="AJ307" s="139">
        <v>100</v>
      </c>
      <c r="AK307" s="135" t="s">
        <v>752</v>
      </c>
      <c r="AL307" s="136">
        <v>300000</v>
      </c>
      <c r="AM307" s="138">
        <v>100</v>
      </c>
    </row>
    <row r="308" spans="1:39" s="27" customFormat="1" ht="33">
      <c r="A308" s="34" t="s">
        <v>876</v>
      </c>
      <c r="B308" s="34"/>
      <c r="C308" s="72" t="s">
        <v>1195</v>
      </c>
      <c r="D308" s="72"/>
      <c r="E308" s="120" t="s">
        <v>905</v>
      </c>
      <c r="F308" s="120"/>
      <c r="G308" s="132" t="s">
        <v>418</v>
      </c>
      <c r="H308" s="132" t="s">
        <v>520</v>
      </c>
      <c r="I308" s="132" t="s">
        <v>108</v>
      </c>
      <c r="J308" s="133" t="s">
        <v>419</v>
      </c>
      <c r="K308" s="134" t="s">
        <v>605</v>
      </c>
      <c r="L308" s="307">
        <f t="shared" si="42"/>
        <v>2435.08</v>
      </c>
      <c r="M308" s="308"/>
      <c r="N308" s="308">
        <v>2435.08</v>
      </c>
      <c r="O308" s="296"/>
      <c r="P308" s="296"/>
      <c r="Q308" s="296"/>
      <c r="R308" s="84"/>
      <c r="S308" s="70">
        <f t="shared" si="46"/>
        <v>0</v>
      </c>
      <c r="T308" s="70"/>
      <c r="U308" s="70">
        <v>2435.08</v>
      </c>
      <c r="V308" s="9" t="s">
        <v>521</v>
      </c>
      <c r="W308" s="19"/>
      <c r="X308" s="70">
        <v>2435.08</v>
      </c>
      <c r="Y308" s="67">
        <f t="shared" si="44"/>
        <v>0</v>
      </c>
      <c r="Z308" s="52"/>
      <c r="AA308" s="52"/>
      <c r="AB308" s="19"/>
      <c r="AC308" s="24">
        <f t="shared" si="45"/>
        <v>12655.31</v>
      </c>
      <c r="AD308" s="19"/>
      <c r="AE308" s="19"/>
      <c r="AF308" s="19"/>
      <c r="AG308" s="19"/>
      <c r="AH308" s="19"/>
      <c r="AI308" s="14"/>
      <c r="AJ308" s="139">
        <v>100</v>
      </c>
      <c r="AK308" s="135" t="s">
        <v>347</v>
      </c>
      <c r="AL308" s="136">
        <v>300000</v>
      </c>
      <c r="AM308" s="138">
        <v>100</v>
      </c>
    </row>
    <row r="309" spans="1:39" s="27" customFormat="1" ht="33">
      <c r="A309" s="34" t="s">
        <v>876</v>
      </c>
      <c r="B309" s="34"/>
      <c r="C309" s="72" t="s">
        <v>1195</v>
      </c>
      <c r="D309" s="72"/>
      <c r="E309" s="120" t="s">
        <v>903</v>
      </c>
      <c r="F309" s="120"/>
      <c r="G309" s="132" t="s">
        <v>418</v>
      </c>
      <c r="H309" s="132" t="s">
        <v>520</v>
      </c>
      <c r="I309" s="132" t="s">
        <v>108</v>
      </c>
      <c r="J309" s="133" t="s">
        <v>419</v>
      </c>
      <c r="K309" s="134" t="s">
        <v>606</v>
      </c>
      <c r="L309" s="307">
        <f t="shared" si="42"/>
        <v>15090.39</v>
      </c>
      <c r="M309" s="308"/>
      <c r="N309" s="308">
        <v>15090.39</v>
      </c>
      <c r="O309" s="296"/>
      <c r="P309" s="296"/>
      <c r="Q309" s="296"/>
      <c r="R309" s="84"/>
      <c r="S309" s="70">
        <f t="shared" si="46"/>
        <v>0</v>
      </c>
      <c r="T309" s="70"/>
      <c r="U309" s="70">
        <v>15090.39</v>
      </c>
      <c r="V309" s="9" t="s">
        <v>521</v>
      </c>
      <c r="W309" s="19"/>
      <c r="X309" s="70">
        <v>15090.39</v>
      </c>
      <c r="Y309" s="67">
        <f t="shared" si="44"/>
        <v>0</v>
      </c>
      <c r="Z309" s="52"/>
      <c r="AA309" s="52"/>
      <c r="AB309" s="19"/>
      <c r="AC309" s="24">
        <f t="shared" si="45"/>
        <v>-6384.3899999999994</v>
      </c>
      <c r="AD309" s="19"/>
      <c r="AE309" s="19"/>
      <c r="AF309" s="19"/>
      <c r="AG309" s="19"/>
      <c r="AH309" s="19"/>
      <c r="AI309" s="14"/>
      <c r="AJ309" s="139">
        <v>100</v>
      </c>
      <c r="AK309" s="135" t="s">
        <v>347</v>
      </c>
      <c r="AL309" s="136">
        <v>300000</v>
      </c>
      <c r="AM309" s="138">
        <v>100</v>
      </c>
    </row>
    <row r="310" spans="1:39" s="27" customFormat="1" ht="33">
      <c r="A310" s="34" t="s">
        <v>876</v>
      </c>
      <c r="B310" s="34"/>
      <c r="C310" s="72" t="s">
        <v>1195</v>
      </c>
      <c r="D310" s="72"/>
      <c r="E310" s="120" t="s">
        <v>902</v>
      </c>
      <c r="F310" s="120"/>
      <c r="G310" s="132" t="s">
        <v>418</v>
      </c>
      <c r="H310" s="132" t="s">
        <v>520</v>
      </c>
      <c r="I310" s="132" t="s">
        <v>108</v>
      </c>
      <c r="J310" s="133" t="s">
        <v>419</v>
      </c>
      <c r="K310" s="134" t="s">
        <v>607</v>
      </c>
      <c r="L310" s="307">
        <f t="shared" si="42"/>
        <v>8706</v>
      </c>
      <c r="M310" s="308"/>
      <c r="N310" s="308">
        <v>8706</v>
      </c>
      <c r="O310" s="296"/>
      <c r="P310" s="296"/>
      <c r="Q310" s="296"/>
      <c r="R310" s="84"/>
      <c r="S310" s="70">
        <f t="shared" si="46"/>
        <v>0</v>
      </c>
      <c r="T310" s="70"/>
      <c r="U310" s="70">
        <v>8706</v>
      </c>
      <c r="V310" s="9" t="s">
        <v>521</v>
      </c>
      <c r="W310" s="19"/>
      <c r="X310" s="70">
        <v>8706</v>
      </c>
      <c r="Y310" s="67">
        <f t="shared" si="44"/>
        <v>0</v>
      </c>
      <c r="Z310" s="52"/>
      <c r="AA310" s="52"/>
      <c r="AB310" s="19"/>
      <c r="AC310" s="24">
        <f t="shared" si="45"/>
        <v>-4653.41</v>
      </c>
      <c r="AD310" s="19"/>
      <c r="AE310" s="19"/>
      <c r="AF310" s="19"/>
      <c r="AG310" s="19"/>
      <c r="AH310" s="19"/>
      <c r="AI310" s="14"/>
      <c r="AJ310" s="139">
        <v>100</v>
      </c>
      <c r="AK310" s="135" t="s">
        <v>271</v>
      </c>
      <c r="AL310" s="136">
        <v>300000</v>
      </c>
      <c r="AM310" s="138">
        <v>100</v>
      </c>
    </row>
    <row r="311" spans="1:39" s="27" customFormat="1" ht="33">
      <c r="A311" s="34" t="s">
        <v>876</v>
      </c>
      <c r="B311" s="34"/>
      <c r="C311" s="72" t="s">
        <v>1195</v>
      </c>
      <c r="D311" s="72"/>
      <c r="E311" s="120" t="s">
        <v>905</v>
      </c>
      <c r="F311" s="120"/>
      <c r="G311" s="132" t="s">
        <v>418</v>
      </c>
      <c r="H311" s="132" t="s">
        <v>520</v>
      </c>
      <c r="I311" s="132" t="s">
        <v>108</v>
      </c>
      <c r="J311" s="133" t="s">
        <v>419</v>
      </c>
      <c r="K311" s="134" t="s">
        <v>608</v>
      </c>
      <c r="L311" s="307">
        <f t="shared" si="42"/>
        <v>4052.59</v>
      </c>
      <c r="M311" s="308"/>
      <c r="N311" s="308">
        <v>4052.59</v>
      </c>
      <c r="O311" s="296"/>
      <c r="P311" s="296"/>
      <c r="Q311" s="296"/>
      <c r="R311" s="84"/>
      <c r="S311" s="70">
        <f t="shared" si="46"/>
        <v>0</v>
      </c>
      <c r="T311" s="70"/>
      <c r="U311" s="70">
        <v>4052.59</v>
      </c>
      <c r="V311" s="9" t="s">
        <v>521</v>
      </c>
      <c r="W311" s="19"/>
      <c r="X311" s="70">
        <v>4052.59</v>
      </c>
      <c r="Y311" s="67">
        <f t="shared" si="44"/>
        <v>0</v>
      </c>
      <c r="Z311" s="52"/>
      <c r="AA311" s="52"/>
      <c r="AB311" s="19"/>
      <c r="AC311" s="24">
        <f t="shared" si="45"/>
        <v>24626.52</v>
      </c>
      <c r="AD311" s="19"/>
      <c r="AE311" s="19"/>
      <c r="AF311" s="19"/>
      <c r="AG311" s="19"/>
      <c r="AH311" s="19"/>
      <c r="AI311" s="14"/>
      <c r="AJ311" s="139">
        <v>100</v>
      </c>
      <c r="AK311" s="135" t="s">
        <v>271</v>
      </c>
      <c r="AL311" s="136">
        <v>300000</v>
      </c>
      <c r="AM311" s="138">
        <v>100</v>
      </c>
    </row>
    <row r="312" spans="1:39" s="27" customFormat="1" ht="33">
      <c r="A312" s="34" t="s">
        <v>876</v>
      </c>
      <c r="B312" s="34"/>
      <c r="C312" s="72" t="s">
        <v>1195</v>
      </c>
      <c r="D312" s="72"/>
      <c r="E312" s="120" t="s">
        <v>906</v>
      </c>
      <c r="F312" s="120"/>
      <c r="G312" s="132" t="s">
        <v>418</v>
      </c>
      <c r="H312" s="132" t="s">
        <v>520</v>
      </c>
      <c r="I312" s="132" t="s">
        <v>108</v>
      </c>
      <c r="J312" s="133" t="s">
        <v>419</v>
      </c>
      <c r="K312" s="134" t="s">
        <v>609</v>
      </c>
      <c r="L312" s="307">
        <f t="shared" si="42"/>
        <v>28679.11</v>
      </c>
      <c r="M312" s="308"/>
      <c r="N312" s="308">
        <v>28679.11</v>
      </c>
      <c r="O312" s="296"/>
      <c r="P312" s="296"/>
      <c r="Q312" s="296"/>
      <c r="R312" s="84"/>
      <c r="S312" s="70">
        <f t="shared" si="46"/>
        <v>0</v>
      </c>
      <c r="T312" s="70"/>
      <c r="U312" s="70">
        <v>28679.11</v>
      </c>
      <c r="V312" s="9" t="s">
        <v>521</v>
      </c>
      <c r="W312" s="19"/>
      <c r="X312" s="70">
        <v>28679.11</v>
      </c>
      <c r="Y312" s="67">
        <f t="shared" si="44"/>
        <v>0</v>
      </c>
      <c r="Z312" s="52"/>
      <c r="AA312" s="52"/>
      <c r="AB312" s="19"/>
      <c r="AC312" s="24">
        <f t="shared" si="45"/>
        <v>36692.959999999999</v>
      </c>
      <c r="AD312" s="19"/>
      <c r="AE312" s="19"/>
      <c r="AF312" s="19"/>
      <c r="AG312" s="19"/>
      <c r="AH312" s="19"/>
      <c r="AI312" s="14"/>
      <c r="AJ312" s="139">
        <v>100</v>
      </c>
      <c r="AK312" s="135" t="s">
        <v>347</v>
      </c>
      <c r="AL312" s="136">
        <v>300000</v>
      </c>
      <c r="AM312" s="138">
        <v>100</v>
      </c>
    </row>
    <row r="313" spans="1:39" s="27" customFormat="1" ht="33">
      <c r="A313" s="34" t="s">
        <v>876</v>
      </c>
      <c r="B313" s="34"/>
      <c r="C313" s="72" t="s">
        <v>1195</v>
      </c>
      <c r="D313" s="72"/>
      <c r="E313" s="120" t="s">
        <v>901</v>
      </c>
      <c r="F313" s="120"/>
      <c r="G313" s="132" t="s">
        <v>418</v>
      </c>
      <c r="H313" s="132" t="s">
        <v>520</v>
      </c>
      <c r="I313" s="132" t="s">
        <v>108</v>
      </c>
      <c r="J313" s="133" t="s">
        <v>419</v>
      </c>
      <c r="K313" s="134" t="s">
        <v>610</v>
      </c>
      <c r="L313" s="307">
        <f t="shared" si="42"/>
        <v>65372.07</v>
      </c>
      <c r="M313" s="308"/>
      <c r="N313" s="308">
        <v>65372.07</v>
      </c>
      <c r="O313" s="296"/>
      <c r="P313" s="296"/>
      <c r="Q313" s="296"/>
      <c r="R313" s="84"/>
      <c r="S313" s="70">
        <f t="shared" si="46"/>
        <v>0</v>
      </c>
      <c r="T313" s="70"/>
      <c r="U313" s="70">
        <v>65372.07</v>
      </c>
      <c r="V313" s="9" t="s">
        <v>521</v>
      </c>
      <c r="W313" s="19"/>
      <c r="X313" s="70">
        <v>65372.07</v>
      </c>
      <c r="Y313" s="67">
        <f t="shared" si="44"/>
        <v>0</v>
      </c>
      <c r="Z313" s="52"/>
      <c r="AA313" s="52"/>
      <c r="AB313" s="19"/>
      <c r="AC313" s="24">
        <f t="shared" si="45"/>
        <v>-36835.65</v>
      </c>
      <c r="AD313" s="19"/>
      <c r="AE313" s="19"/>
      <c r="AF313" s="19"/>
      <c r="AG313" s="19"/>
      <c r="AH313" s="19"/>
      <c r="AI313" s="14"/>
      <c r="AJ313" s="139">
        <v>100</v>
      </c>
      <c r="AK313" s="135" t="s">
        <v>271</v>
      </c>
      <c r="AL313" s="136">
        <v>300000</v>
      </c>
      <c r="AM313" s="138">
        <v>100</v>
      </c>
    </row>
    <row r="314" spans="1:39" s="27" customFormat="1" ht="33">
      <c r="A314" s="34" t="s">
        <v>876</v>
      </c>
      <c r="B314" s="34"/>
      <c r="C314" s="72" t="s">
        <v>1195</v>
      </c>
      <c r="D314" s="72"/>
      <c r="E314" s="120" t="s">
        <v>903</v>
      </c>
      <c r="F314" s="120"/>
      <c r="G314" s="132" t="s">
        <v>418</v>
      </c>
      <c r="H314" s="132" t="s">
        <v>520</v>
      </c>
      <c r="I314" s="132" t="s">
        <v>108</v>
      </c>
      <c r="J314" s="133" t="s">
        <v>419</v>
      </c>
      <c r="K314" s="134" t="s">
        <v>611</v>
      </c>
      <c r="L314" s="307">
        <f t="shared" si="42"/>
        <v>28536.42</v>
      </c>
      <c r="M314" s="308"/>
      <c r="N314" s="308">
        <v>28536.42</v>
      </c>
      <c r="O314" s="296"/>
      <c r="P314" s="296"/>
      <c r="Q314" s="296"/>
      <c r="R314" s="84"/>
      <c r="S314" s="70">
        <f t="shared" si="46"/>
        <v>0</v>
      </c>
      <c r="T314" s="70"/>
      <c r="U314" s="70">
        <v>28536.42</v>
      </c>
      <c r="V314" s="9" t="s">
        <v>521</v>
      </c>
      <c r="W314" s="19"/>
      <c r="X314" s="70">
        <v>28536.42</v>
      </c>
      <c r="Y314" s="67">
        <f t="shared" si="44"/>
        <v>0</v>
      </c>
      <c r="Z314" s="52"/>
      <c r="AA314" s="52"/>
      <c r="AB314" s="19"/>
      <c r="AC314" s="24">
        <f t="shared" si="45"/>
        <v>-18933.399999999998</v>
      </c>
      <c r="AD314" s="19"/>
      <c r="AE314" s="19"/>
      <c r="AF314" s="19"/>
      <c r="AG314" s="19"/>
      <c r="AH314" s="19"/>
      <c r="AI314" s="14"/>
      <c r="AJ314" s="139">
        <v>100</v>
      </c>
      <c r="AK314" s="135" t="s">
        <v>271</v>
      </c>
      <c r="AL314" s="136">
        <v>300000</v>
      </c>
      <c r="AM314" s="138">
        <v>100</v>
      </c>
    </row>
    <row r="315" spans="1:39" s="27" customFormat="1" ht="33">
      <c r="A315" s="34" t="s">
        <v>876</v>
      </c>
      <c r="B315" s="34"/>
      <c r="C315" s="72" t="s">
        <v>1195</v>
      </c>
      <c r="D315" s="72"/>
      <c r="E315" s="120" t="s">
        <v>905</v>
      </c>
      <c r="F315" s="120"/>
      <c r="G315" s="132" t="s">
        <v>418</v>
      </c>
      <c r="H315" s="132" t="s">
        <v>520</v>
      </c>
      <c r="I315" s="132" t="s">
        <v>108</v>
      </c>
      <c r="J315" s="133" t="s">
        <v>419</v>
      </c>
      <c r="K315" s="134" t="s">
        <v>612</v>
      </c>
      <c r="L315" s="307">
        <f t="shared" si="42"/>
        <v>9603.02</v>
      </c>
      <c r="M315" s="308"/>
      <c r="N315" s="308">
        <v>9603.02</v>
      </c>
      <c r="O315" s="296"/>
      <c r="P315" s="296"/>
      <c r="Q315" s="296"/>
      <c r="R315" s="84"/>
      <c r="S315" s="70">
        <f t="shared" si="46"/>
        <v>0</v>
      </c>
      <c r="T315" s="70"/>
      <c r="U315" s="70">
        <v>9603.02</v>
      </c>
      <c r="V315" s="9" t="s">
        <v>521</v>
      </c>
      <c r="W315" s="19"/>
      <c r="X315" s="70">
        <v>9603.02</v>
      </c>
      <c r="Y315" s="67">
        <f t="shared" si="44"/>
        <v>0</v>
      </c>
      <c r="Z315" s="52"/>
      <c r="AA315" s="52"/>
      <c r="AB315" s="19"/>
      <c r="AC315" s="24">
        <f t="shared" si="45"/>
        <v>-1209.0400000000009</v>
      </c>
      <c r="AD315" s="19"/>
      <c r="AE315" s="19"/>
      <c r="AF315" s="19"/>
      <c r="AG315" s="19"/>
      <c r="AH315" s="19"/>
      <c r="AI315" s="14"/>
      <c r="AJ315" s="139">
        <v>100</v>
      </c>
      <c r="AK315" s="135" t="s">
        <v>347</v>
      </c>
      <c r="AL315" s="136">
        <v>300000</v>
      </c>
      <c r="AM315" s="138">
        <v>100</v>
      </c>
    </row>
    <row r="316" spans="1:39" s="27" customFormat="1" ht="33">
      <c r="A316" s="34" t="s">
        <v>876</v>
      </c>
      <c r="B316" s="34"/>
      <c r="C316" s="72" t="s">
        <v>1195</v>
      </c>
      <c r="D316" s="72"/>
      <c r="E316" s="120" t="s">
        <v>903</v>
      </c>
      <c r="F316" s="120"/>
      <c r="G316" s="132" t="s">
        <v>418</v>
      </c>
      <c r="H316" s="132" t="s">
        <v>520</v>
      </c>
      <c r="I316" s="132" t="s">
        <v>108</v>
      </c>
      <c r="J316" s="133" t="s">
        <v>419</v>
      </c>
      <c r="K316" s="134" t="s">
        <v>613</v>
      </c>
      <c r="L316" s="307">
        <f t="shared" si="42"/>
        <v>8393.98</v>
      </c>
      <c r="M316" s="308"/>
      <c r="N316" s="308">
        <v>8393.98</v>
      </c>
      <c r="O316" s="296"/>
      <c r="P316" s="296"/>
      <c r="Q316" s="296"/>
      <c r="R316" s="84"/>
      <c r="S316" s="70">
        <f t="shared" si="46"/>
        <v>0</v>
      </c>
      <c r="T316" s="70"/>
      <c r="U316" s="70">
        <v>8393.98</v>
      </c>
      <c r="V316" s="9" t="s">
        <v>521</v>
      </c>
      <c r="W316" s="19"/>
      <c r="X316" s="70">
        <v>8393.98</v>
      </c>
      <c r="Y316" s="67">
        <f t="shared" si="44"/>
        <v>0</v>
      </c>
      <c r="Z316" s="52"/>
      <c r="AA316" s="52"/>
      <c r="AB316" s="19"/>
      <c r="AC316" s="24">
        <f t="shared" si="45"/>
        <v>6389.5</v>
      </c>
      <c r="AD316" s="19"/>
      <c r="AE316" s="19"/>
      <c r="AF316" s="19"/>
      <c r="AG316" s="19"/>
      <c r="AH316" s="19"/>
      <c r="AI316" s="14"/>
      <c r="AJ316" s="139">
        <v>100</v>
      </c>
      <c r="AK316" s="135" t="s">
        <v>271</v>
      </c>
      <c r="AL316" s="136">
        <v>300000</v>
      </c>
      <c r="AM316" s="138">
        <v>100</v>
      </c>
    </row>
    <row r="317" spans="1:39" s="27" customFormat="1" ht="49.5">
      <c r="A317" s="34" t="s">
        <v>876</v>
      </c>
      <c r="B317" s="34"/>
      <c r="C317" s="72" t="s">
        <v>1195</v>
      </c>
      <c r="D317" s="72"/>
      <c r="E317" s="120" t="s">
        <v>903</v>
      </c>
      <c r="F317" s="120"/>
      <c r="G317" s="132" t="s">
        <v>418</v>
      </c>
      <c r="H317" s="132" t="s">
        <v>520</v>
      </c>
      <c r="I317" s="132" t="s">
        <v>108</v>
      </c>
      <c r="J317" s="133" t="s">
        <v>419</v>
      </c>
      <c r="K317" s="134" t="s">
        <v>614</v>
      </c>
      <c r="L317" s="307">
        <f t="shared" si="42"/>
        <v>14783.48</v>
      </c>
      <c r="M317" s="308"/>
      <c r="N317" s="308">
        <v>14783.48</v>
      </c>
      <c r="O317" s="296"/>
      <c r="P317" s="296"/>
      <c r="Q317" s="296"/>
      <c r="R317" s="84"/>
      <c r="S317" s="70">
        <f t="shared" si="46"/>
        <v>0</v>
      </c>
      <c r="T317" s="70"/>
      <c r="U317" s="70">
        <v>14783.48</v>
      </c>
      <c r="V317" s="9" t="s">
        <v>521</v>
      </c>
      <c r="W317" s="19"/>
      <c r="X317" s="70">
        <v>14783.48</v>
      </c>
      <c r="Y317" s="67">
        <f t="shared" si="44"/>
        <v>0</v>
      </c>
      <c r="Z317" s="52"/>
      <c r="AA317" s="52"/>
      <c r="AB317" s="19"/>
      <c r="AC317" s="24">
        <f t="shared" si="45"/>
        <v>104305.72</v>
      </c>
      <c r="AD317" s="19"/>
      <c r="AE317" s="19"/>
      <c r="AF317" s="19"/>
      <c r="AG317" s="19"/>
      <c r="AH317" s="19"/>
      <c r="AI317" s="14"/>
      <c r="AJ317" s="139">
        <v>100</v>
      </c>
      <c r="AK317" s="135" t="s">
        <v>271</v>
      </c>
      <c r="AL317" s="136">
        <v>300000</v>
      </c>
      <c r="AM317" s="138">
        <v>100</v>
      </c>
    </row>
    <row r="318" spans="1:39" s="27" customFormat="1" ht="33">
      <c r="A318" s="34" t="s">
        <v>876</v>
      </c>
      <c r="B318" s="34"/>
      <c r="C318" s="72" t="s">
        <v>1195</v>
      </c>
      <c r="D318" s="72"/>
      <c r="E318" s="120" t="s">
        <v>902</v>
      </c>
      <c r="F318" s="120"/>
      <c r="G318" s="132" t="s">
        <v>418</v>
      </c>
      <c r="H318" s="132" t="s">
        <v>520</v>
      </c>
      <c r="I318" s="132" t="s">
        <v>108</v>
      </c>
      <c r="J318" s="133" t="s">
        <v>419</v>
      </c>
      <c r="K318" s="134" t="s">
        <v>616</v>
      </c>
      <c r="L318" s="307">
        <f t="shared" si="42"/>
        <v>119089.2</v>
      </c>
      <c r="M318" s="308"/>
      <c r="N318" s="308">
        <v>119089.2</v>
      </c>
      <c r="O318" s="296"/>
      <c r="P318" s="296"/>
      <c r="Q318" s="296"/>
      <c r="R318" s="84"/>
      <c r="S318" s="70">
        <f t="shared" si="46"/>
        <v>0</v>
      </c>
      <c r="T318" s="70"/>
      <c r="U318" s="70">
        <v>119089.2</v>
      </c>
      <c r="V318" s="9" t="s">
        <v>521</v>
      </c>
      <c r="W318" s="19"/>
      <c r="X318" s="70">
        <v>119089.2</v>
      </c>
      <c r="Y318" s="67">
        <f t="shared" si="44"/>
        <v>0</v>
      </c>
      <c r="Z318" s="52"/>
      <c r="AA318" s="52"/>
      <c r="AB318" s="19"/>
      <c r="AC318" s="24">
        <f t="shared" si="45"/>
        <v>-115718.76</v>
      </c>
      <c r="AD318" s="19"/>
      <c r="AE318" s="19"/>
      <c r="AF318" s="19"/>
      <c r="AG318" s="19"/>
      <c r="AH318" s="19"/>
      <c r="AI318" s="14"/>
      <c r="AJ318" s="139">
        <v>100</v>
      </c>
      <c r="AK318" s="135" t="s">
        <v>271</v>
      </c>
      <c r="AL318" s="136">
        <v>300000</v>
      </c>
      <c r="AM318" s="138">
        <v>100</v>
      </c>
    </row>
    <row r="319" spans="1:39" s="27" customFormat="1" ht="33">
      <c r="A319" s="34" t="s">
        <v>876</v>
      </c>
      <c r="B319" s="34"/>
      <c r="C319" s="72" t="s">
        <v>1195</v>
      </c>
      <c r="D319" s="72"/>
      <c r="E319" s="120" t="s">
        <v>905</v>
      </c>
      <c r="F319" s="120"/>
      <c r="G319" s="132" t="s">
        <v>418</v>
      </c>
      <c r="H319" s="132" t="s">
        <v>520</v>
      </c>
      <c r="I319" s="132" t="s">
        <v>108</v>
      </c>
      <c r="J319" s="133" t="s">
        <v>419</v>
      </c>
      <c r="K319" s="134" t="s">
        <v>617</v>
      </c>
      <c r="L319" s="307">
        <f t="shared" si="42"/>
        <v>3370.44</v>
      </c>
      <c r="M319" s="308"/>
      <c r="N319" s="308">
        <v>3370.44</v>
      </c>
      <c r="O319" s="296"/>
      <c r="P319" s="296"/>
      <c r="Q319" s="296"/>
      <c r="R319" s="84"/>
      <c r="S319" s="70">
        <f t="shared" si="46"/>
        <v>0</v>
      </c>
      <c r="T319" s="70"/>
      <c r="U319" s="70">
        <v>3370.44</v>
      </c>
      <c r="V319" s="9" t="s">
        <v>521</v>
      </c>
      <c r="W319" s="19"/>
      <c r="X319" s="70">
        <v>3370.44</v>
      </c>
      <c r="Y319" s="67">
        <f t="shared" si="44"/>
        <v>0</v>
      </c>
      <c r="Z319" s="52"/>
      <c r="AA319" s="52"/>
      <c r="AB319" s="19"/>
      <c r="AC319" s="24">
        <f t="shared" si="45"/>
        <v>118505.58</v>
      </c>
      <c r="AD319" s="19"/>
      <c r="AE319" s="19"/>
      <c r="AF319" s="19"/>
      <c r="AG319" s="19"/>
      <c r="AH319" s="19"/>
      <c r="AI319" s="14"/>
      <c r="AJ319" s="139">
        <v>100</v>
      </c>
      <c r="AK319" s="135" t="s">
        <v>271</v>
      </c>
      <c r="AL319" s="136">
        <v>300000</v>
      </c>
      <c r="AM319" s="138">
        <v>100</v>
      </c>
    </row>
    <row r="320" spans="1:39" s="27" customFormat="1" ht="33">
      <c r="A320" s="34" t="s">
        <v>876</v>
      </c>
      <c r="B320" s="34"/>
      <c r="C320" s="72" t="s">
        <v>1195</v>
      </c>
      <c r="D320" s="72"/>
      <c r="E320" s="120" t="s">
        <v>901</v>
      </c>
      <c r="F320" s="120"/>
      <c r="G320" s="132" t="s">
        <v>418</v>
      </c>
      <c r="H320" s="132" t="s">
        <v>520</v>
      </c>
      <c r="I320" s="132" t="s">
        <v>108</v>
      </c>
      <c r="J320" s="133" t="s">
        <v>419</v>
      </c>
      <c r="K320" s="134" t="s">
        <v>618</v>
      </c>
      <c r="L320" s="307">
        <f t="shared" si="42"/>
        <v>121876.02</v>
      </c>
      <c r="M320" s="308"/>
      <c r="N320" s="308">
        <v>121876.02</v>
      </c>
      <c r="O320" s="296"/>
      <c r="P320" s="296"/>
      <c r="Q320" s="296"/>
      <c r="R320" s="84"/>
      <c r="S320" s="70">
        <f t="shared" si="46"/>
        <v>0</v>
      </c>
      <c r="T320" s="70"/>
      <c r="U320" s="70">
        <v>121876.02</v>
      </c>
      <c r="V320" s="9" t="s">
        <v>521</v>
      </c>
      <c r="W320" s="19"/>
      <c r="X320" s="70">
        <v>121876.02</v>
      </c>
      <c r="Y320" s="67">
        <f t="shared" si="44"/>
        <v>0</v>
      </c>
      <c r="Z320" s="52"/>
      <c r="AA320" s="52"/>
      <c r="AB320" s="19"/>
      <c r="AC320" s="24">
        <f t="shared" si="45"/>
        <v>-47936.31</v>
      </c>
      <c r="AD320" s="19"/>
      <c r="AE320" s="19"/>
      <c r="AF320" s="19"/>
      <c r="AG320" s="19"/>
      <c r="AH320" s="19"/>
      <c r="AI320" s="14"/>
      <c r="AJ320" s="139">
        <v>100</v>
      </c>
      <c r="AK320" s="135" t="s">
        <v>271</v>
      </c>
      <c r="AL320" s="136">
        <v>300000</v>
      </c>
      <c r="AM320" s="138">
        <v>100</v>
      </c>
    </row>
    <row r="321" spans="1:39" s="27" customFormat="1" ht="49.5">
      <c r="A321" s="34" t="s">
        <v>876</v>
      </c>
      <c r="B321" s="34"/>
      <c r="C321" s="72" t="s">
        <v>1195</v>
      </c>
      <c r="D321" s="72"/>
      <c r="E321" s="120" t="s">
        <v>905</v>
      </c>
      <c r="F321" s="120"/>
      <c r="G321" s="132" t="s">
        <v>418</v>
      </c>
      <c r="H321" s="132" t="s">
        <v>520</v>
      </c>
      <c r="I321" s="132" t="s">
        <v>108</v>
      </c>
      <c r="J321" s="133" t="s">
        <v>419</v>
      </c>
      <c r="K321" s="134" t="s">
        <v>619</v>
      </c>
      <c r="L321" s="307">
        <f t="shared" si="42"/>
        <v>73939.710000000006</v>
      </c>
      <c r="M321" s="308"/>
      <c r="N321" s="308">
        <v>73939.710000000006</v>
      </c>
      <c r="O321" s="296"/>
      <c r="P321" s="296"/>
      <c r="Q321" s="296"/>
      <c r="R321" s="84"/>
      <c r="S321" s="70">
        <f t="shared" si="46"/>
        <v>0</v>
      </c>
      <c r="T321" s="70"/>
      <c r="U321" s="70">
        <v>73939.710000000006</v>
      </c>
      <c r="V321" s="9" t="s">
        <v>521</v>
      </c>
      <c r="W321" s="19"/>
      <c r="X321" s="70">
        <v>73939.710000000006</v>
      </c>
      <c r="Y321" s="67">
        <f t="shared" si="44"/>
        <v>0</v>
      </c>
      <c r="Z321" s="52"/>
      <c r="AA321" s="52"/>
      <c r="AB321" s="19"/>
      <c r="AC321" s="24">
        <f t="shared" si="45"/>
        <v>-55466.030000000006</v>
      </c>
      <c r="AD321" s="19"/>
      <c r="AE321" s="19"/>
      <c r="AF321" s="19"/>
      <c r="AG321" s="19"/>
      <c r="AH321" s="19"/>
      <c r="AI321" s="14"/>
      <c r="AJ321" s="139">
        <v>100</v>
      </c>
      <c r="AK321" s="135" t="s">
        <v>271</v>
      </c>
      <c r="AL321" s="136">
        <v>300000</v>
      </c>
      <c r="AM321" s="138">
        <v>100</v>
      </c>
    </row>
    <row r="322" spans="1:39" s="27" customFormat="1" ht="33">
      <c r="A322" s="34" t="s">
        <v>876</v>
      </c>
      <c r="B322" s="34"/>
      <c r="C322" s="72" t="s">
        <v>1195</v>
      </c>
      <c r="D322" s="72"/>
      <c r="E322" s="120" t="s">
        <v>902</v>
      </c>
      <c r="F322" s="120"/>
      <c r="G322" s="132" t="s">
        <v>418</v>
      </c>
      <c r="H322" s="132" t="s">
        <v>520</v>
      </c>
      <c r="I322" s="132" t="s">
        <v>108</v>
      </c>
      <c r="J322" s="133" t="s">
        <v>419</v>
      </c>
      <c r="K322" s="134" t="s">
        <v>620</v>
      </c>
      <c r="L322" s="307">
        <f t="shared" si="42"/>
        <v>18473.68</v>
      </c>
      <c r="M322" s="308"/>
      <c r="N322" s="308">
        <v>18473.68</v>
      </c>
      <c r="O322" s="296"/>
      <c r="P322" s="296"/>
      <c r="Q322" s="296"/>
      <c r="R322" s="84"/>
      <c r="S322" s="70">
        <f t="shared" si="46"/>
        <v>0</v>
      </c>
      <c r="T322" s="70"/>
      <c r="U322" s="70">
        <v>18473.68</v>
      </c>
      <c r="V322" s="9" t="s">
        <v>521</v>
      </c>
      <c r="W322" s="19"/>
      <c r="X322" s="70">
        <v>18473.68</v>
      </c>
      <c r="Y322" s="67">
        <f t="shared" si="44"/>
        <v>0</v>
      </c>
      <c r="Z322" s="52"/>
      <c r="AA322" s="52"/>
      <c r="AB322" s="19"/>
      <c r="AC322" s="24">
        <f t="shared" si="45"/>
        <v>-6163.4500000000007</v>
      </c>
      <c r="AD322" s="19"/>
      <c r="AE322" s="19"/>
      <c r="AF322" s="19"/>
      <c r="AG322" s="19"/>
      <c r="AH322" s="19"/>
      <c r="AI322" s="14"/>
      <c r="AJ322" s="139">
        <v>100</v>
      </c>
      <c r="AK322" s="135" t="s">
        <v>347</v>
      </c>
      <c r="AL322" s="136">
        <v>300000</v>
      </c>
      <c r="AM322" s="138">
        <v>100</v>
      </c>
    </row>
    <row r="323" spans="1:39" s="27" customFormat="1" ht="49.5">
      <c r="A323" s="34" t="s">
        <v>876</v>
      </c>
      <c r="B323" s="34"/>
      <c r="C323" s="72" t="s">
        <v>1195</v>
      </c>
      <c r="D323" s="72"/>
      <c r="E323" s="120" t="s">
        <v>901</v>
      </c>
      <c r="F323" s="120"/>
      <c r="G323" s="132" t="s">
        <v>418</v>
      </c>
      <c r="H323" s="132" t="s">
        <v>520</v>
      </c>
      <c r="I323" s="132" t="s">
        <v>108</v>
      </c>
      <c r="J323" s="133" t="s">
        <v>419</v>
      </c>
      <c r="K323" s="134" t="s">
        <v>621</v>
      </c>
      <c r="L323" s="307">
        <f t="shared" ref="L323:L378" si="47">SUM(M323:Q323)</f>
        <v>12310.23</v>
      </c>
      <c r="M323" s="308"/>
      <c r="N323" s="308">
        <v>12310.23</v>
      </c>
      <c r="O323" s="296"/>
      <c r="P323" s="296"/>
      <c r="Q323" s="296"/>
      <c r="R323" s="84"/>
      <c r="S323" s="70">
        <f t="shared" si="46"/>
        <v>0</v>
      </c>
      <c r="T323" s="70"/>
      <c r="U323" s="70">
        <v>12310.23</v>
      </c>
      <c r="V323" s="9" t="s">
        <v>521</v>
      </c>
      <c r="W323" s="19"/>
      <c r="X323" s="70">
        <v>12310.23</v>
      </c>
      <c r="Y323" s="67">
        <f t="shared" si="44"/>
        <v>0</v>
      </c>
      <c r="Z323" s="52"/>
      <c r="AA323" s="52"/>
      <c r="AB323" s="19"/>
      <c r="AC323" s="24">
        <f t="shared" si="45"/>
        <v>-10789.8</v>
      </c>
      <c r="AD323" s="19"/>
      <c r="AE323" s="19"/>
      <c r="AF323" s="19"/>
      <c r="AG323" s="19"/>
      <c r="AH323" s="19"/>
      <c r="AI323" s="14"/>
      <c r="AJ323" s="139">
        <v>100</v>
      </c>
      <c r="AK323" s="135" t="s">
        <v>271</v>
      </c>
      <c r="AL323" s="136">
        <v>300000</v>
      </c>
      <c r="AM323" s="138">
        <v>100</v>
      </c>
    </row>
    <row r="324" spans="1:39" s="27" customFormat="1" ht="33">
      <c r="A324" s="34" t="s">
        <v>876</v>
      </c>
      <c r="B324" s="34"/>
      <c r="C324" s="72" t="s">
        <v>1195</v>
      </c>
      <c r="D324" s="72"/>
      <c r="E324" s="120" t="s">
        <v>901</v>
      </c>
      <c r="F324" s="120"/>
      <c r="G324" s="132" t="s">
        <v>418</v>
      </c>
      <c r="H324" s="132" t="s">
        <v>520</v>
      </c>
      <c r="I324" s="132" t="s">
        <v>108</v>
      </c>
      <c r="J324" s="133" t="s">
        <v>419</v>
      </c>
      <c r="K324" s="134" t="s">
        <v>622</v>
      </c>
      <c r="L324" s="307">
        <f t="shared" si="47"/>
        <v>1520.43</v>
      </c>
      <c r="M324" s="308"/>
      <c r="N324" s="308">
        <v>1520.43</v>
      </c>
      <c r="O324" s="296"/>
      <c r="P324" s="296"/>
      <c r="Q324" s="296"/>
      <c r="R324" s="84"/>
      <c r="S324" s="70">
        <f t="shared" si="46"/>
        <v>0</v>
      </c>
      <c r="T324" s="70"/>
      <c r="U324" s="70">
        <v>1520.43</v>
      </c>
      <c r="V324" s="9" t="s">
        <v>521</v>
      </c>
      <c r="W324" s="19"/>
      <c r="X324" s="70">
        <v>1520.43</v>
      </c>
      <c r="Y324" s="67">
        <f t="shared" si="44"/>
        <v>0</v>
      </c>
      <c r="Z324" s="52"/>
      <c r="AA324" s="52"/>
      <c r="AB324" s="19"/>
      <c r="AC324" s="24">
        <f t="shared" si="45"/>
        <v>2989.0599999999995</v>
      </c>
      <c r="AD324" s="19"/>
      <c r="AE324" s="19"/>
      <c r="AF324" s="19"/>
      <c r="AG324" s="19"/>
      <c r="AH324" s="19"/>
      <c r="AI324" s="14"/>
      <c r="AJ324" s="139">
        <v>100</v>
      </c>
      <c r="AK324" s="135" t="s">
        <v>271</v>
      </c>
      <c r="AL324" s="136">
        <v>300000</v>
      </c>
      <c r="AM324" s="138">
        <v>100</v>
      </c>
    </row>
    <row r="325" spans="1:39" s="27" customFormat="1" ht="49.5">
      <c r="A325" s="34" t="s">
        <v>876</v>
      </c>
      <c r="B325" s="34"/>
      <c r="C325" s="72" t="s">
        <v>1195</v>
      </c>
      <c r="D325" s="72"/>
      <c r="E325" s="120" t="s">
        <v>902</v>
      </c>
      <c r="F325" s="120"/>
      <c r="G325" s="132" t="s">
        <v>418</v>
      </c>
      <c r="H325" s="132" t="s">
        <v>520</v>
      </c>
      <c r="I325" s="132" t="s">
        <v>108</v>
      </c>
      <c r="J325" s="133" t="s">
        <v>419</v>
      </c>
      <c r="K325" s="134" t="s">
        <v>1056</v>
      </c>
      <c r="L325" s="307">
        <f t="shared" si="47"/>
        <v>4509.49</v>
      </c>
      <c r="M325" s="308"/>
      <c r="N325" s="308">
        <v>4509.49</v>
      </c>
      <c r="O325" s="296"/>
      <c r="P325" s="296"/>
      <c r="Q325" s="296"/>
      <c r="R325" s="84"/>
      <c r="S325" s="70">
        <f t="shared" si="46"/>
        <v>0</v>
      </c>
      <c r="T325" s="70"/>
      <c r="U325" s="70">
        <v>4509.49</v>
      </c>
      <c r="V325" s="9" t="s">
        <v>521</v>
      </c>
      <c r="W325" s="19"/>
      <c r="X325" s="70">
        <v>4509.49</v>
      </c>
      <c r="Y325" s="67">
        <f t="shared" si="44"/>
        <v>0</v>
      </c>
      <c r="Z325" s="52"/>
      <c r="AA325" s="52"/>
      <c r="AB325" s="19"/>
      <c r="AC325" s="24">
        <f t="shared" si="45"/>
        <v>497560.89</v>
      </c>
      <c r="AD325" s="19"/>
      <c r="AE325" s="19"/>
      <c r="AF325" s="19"/>
      <c r="AG325" s="19"/>
      <c r="AH325" s="19"/>
      <c r="AI325" s="14"/>
      <c r="AJ325" s="139">
        <v>100</v>
      </c>
      <c r="AK325" s="135" t="s">
        <v>347</v>
      </c>
      <c r="AL325" s="136">
        <v>300000</v>
      </c>
      <c r="AM325" s="138">
        <v>100</v>
      </c>
    </row>
    <row r="326" spans="1:39" s="27" customFormat="1" ht="49.5">
      <c r="A326" s="34" t="s">
        <v>876</v>
      </c>
      <c r="B326" s="34"/>
      <c r="C326" s="72" t="s">
        <v>1195</v>
      </c>
      <c r="D326" s="72"/>
      <c r="E326" s="120" t="s">
        <v>902</v>
      </c>
      <c r="F326" s="120"/>
      <c r="G326" s="132" t="s">
        <v>418</v>
      </c>
      <c r="H326" s="132" t="s">
        <v>520</v>
      </c>
      <c r="I326" s="132" t="s">
        <v>108</v>
      </c>
      <c r="J326" s="133" t="s">
        <v>419</v>
      </c>
      <c r="K326" s="134" t="s">
        <v>623</v>
      </c>
      <c r="L326" s="307">
        <f t="shared" si="47"/>
        <v>502070.38</v>
      </c>
      <c r="M326" s="308"/>
      <c r="N326" s="308">
        <v>502070.38</v>
      </c>
      <c r="O326" s="296"/>
      <c r="P326" s="296"/>
      <c r="Q326" s="296"/>
      <c r="R326" s="84"/>
      <c r="S326" s="70">
        <f t="shared" si="46"/>
        <v>0</v>
      </c>
      <c r="T326" s="70"/>
      <c r="U326" s="70">
        <v>502070.38</v>
      </c>
      <c r="V326" s="9" t="s">
        <v>521</v>
      </c>
      <c r="W326" s="19"/>
      <c r="X326" s="70">
        <v>502070.38</v>
      </c>
      <c r="Y326" s="67">
        <f t="shared" si="44"/>
        <v>0</v>
      </c>
      <c r="Z326" s="52"/>
      <c r="AA326" s="52"/>
      <c r="AB326" s="19"/>
      <c r="AC326" s="24">
        <f t="shared" ref="AC326:AC357" si="48">X327+Y327+AB326-N326</f>
        <v>-202070.38</v>
      </c>
      <c r="AD326" s="19"/>
      <c r="AE326" s="19"/>
      <c r="AF326" s="19"/>
      <c r="AG326" s="19"/>
      <c r="AH326" s="19"/>
      <c r="AI326" s="14"/>
      <c r="AJ326" s="139">
        <v>100</v>
      </c>
      <c r="AK326" s="135" t="s">
        <v>271</v>
      </c>
      <c r="AL326" s="136">
        <v>900000</v>
      </c>
      <c r="AM326" s="138">
        <v>95</v>
      </c>
    </row>
    <row r="327" spans="1:39" s="27" customFormat="1" ht="82.5">
      <c r="A327" s="34" t="s">
        <v>876</v>
      </c>
      <c r="B327" s="34"/>
      <c r="C327" s="72" t="s">
        <v>1195</v>
      </c>
      <c r="D327" s="72"/>
      <c r="E327" s="120" t="s">
        <v>901</v>
      </c>
      <c r="F327" s="120"/>
      <c r="G327" s="132" t="s">
        <v>418</v>
      </c>
      <c r="H327" s="132" t="s">
        <v>520</v>
      </c>
      <c r="I327" s="132" t="s">
        <v>108</v>
      </c>
      <c r="J327" s="133" t="s">
        <v>419</v>
      </c>
      <c r="K327" s="134" t="s">
        <v>624</v>
      </c>
      <c r="L327" s="307">
        <f t="shared" si="47"/>
        <v>300000</v>
      </c>
      <c r="M327" s="308"/>
      <c r="N327" s="308">
        <v>300000</v>
      </c>
      <c r="O327" s="296"/>
      <c r="P327" s="296"/>
      <c r="Q327" s="296"/>
      <c r="R327" s="84"/>
      <c r="S327" s="70">
        <f t="shared" si="46"/>
        <v>0</v>
      </c>
      <c r="T327" s="70"/>
      <c r="U327" s="70">
        <v>300000</v>
      </c>
      <c r="V327" s="9" t="s">
        <v>521</v>
      </c>
      <c r="W327" s="19"/>
      <c r="X327" s="70">
        <v>300000</v>
      </c>
      <c r="Y327" s="67">
        <f t="shared" si="44"/>
        <v>0</v>
      </c>
      <c r="Z327" s="52"/>
      <c r="AA327" s="52"/>
      <c r="AB327" s="19"/>
      <c r="AC327" s="24">
        <f t="shared" si="48"/>
        <v>-200000</v>
      </c>
      <c r="AD327" s="19"/>
      <c r="AE327" s="19"/>
      <c r="AF327" s="19"/>
      <c r="AG327" s="19"/>
      <c r="AH327" s="19"/>
      <c r="AI327" s="14"/>
      <c r="AJ327" s="139">
        <v>100</v>
      </c>
      <c r="AK327" s="135" t="s">
        <v>346</v>
      </c>
      <c r="AL327" s="136">
        <v>300000</v>
      </c>
      <c r="AM327" s="138">
        <v>95</v>
      </c>
    </row>
    <row r="328" spans="1:39" s="27" customFormat="1" ht="66">
      <c r="A328" s="34" t="s">
        <v>876</v>
      </c>
      <c r="B328" s="34"/>
      <c r="C328" s="72" t="s">
        <v>1195</v>
      </c>
      <c r="D328" s="72"/>
      <c r="E328" s="120" t="s">
        <v>901</v>
      </c>
      <c r="F328" s="120"/>
      <c r="G328" s="132" t="s">
        <v>418</v>
      </c>
      <c r="H328" s="132" t="s">
        <v>520</v>
      </c>
      <c r="I328" s="132" t="s">
        <v>108</v>
      </c>
      <c r="J328" s="133" t="s">
        <v>419</v>
      </c>
      <c r="K328" s="134" t="s">
        <v>625</v>
      </c>
      <c r="L328" s="307">
        <f t="shared" si="47"/>
        <v>100000</v>
      </c>
      <c r="M328" s="308"/>
      <c r="N328" s="308">
        <v>100000</v>
      </c>
      <c r="O328" s="296"/>
      <c r="P328" s="296"/>
      <c r="Q328" s="296"/>
      <c r="R328" s="84"/>
      <c r="S328" s="70">
        <f t="shared" si="46"/>
        <v>0</v>
      </c>
      <c r="T328" s="70"/>
      <c r="U328" s="70">
        <v>100000</v>
      </c>
      <c r="V328" s="9" t="s">
        <v>521</v>
      </c>
      <c r="W328" s="19"/>
      <c r="X328" s="70">
        <v>100000</v>
      </c>
      <c r="Y328" s="67">
        <f t="shared" si="44"/>
        <v>0</v>
      </c>
      <c r="Z328" s="52"/>
      <c r="AA328" s="52"/>
      <c r="AB328" s="19"/>
      <c r="AC328" s="24">
        <f t="shared" si="48"/>
        <v>-85915.459999999992</v>
      </c>
      <c r="AD328" s="19"/>
      <c r="AE328" s="19"/>
      <c r="AF328" s="19"/>
      <c r="AG328" s="19"/>
      <c r="AH328" s="19"/>
      <c r="AI328" s="14"/>
      <c r="AJ328" s="139">
        <v>100</v>
      </c>
      <c r="AK328" s="135" t="s">
        <v>271</v>
      </c>
      <c r="AL328" s="136">
        <v>300000</v>
      </c>
      <c r="AM328" s="138">
        <v>95</v>
      </c>
    </row>
    <row r="329" spans="1:39" s="27" customFormat="1" ht="33">
      <c r="A329" s="34" t="s">
        <v>876</v>
      </c>
      <c r="B329" s="34"/>
      <c r="C329" s="72" t="s">
        <v>1195</v>
      </c>
      <c r="D329" s="72"/>
      <c r="E329" s="120" t="s">
        <v>901</v>
      </c>
      <c r="F329" s="120"/>
      <c r="G329" s="132" t="s">
        <v>418</v>
      </c>
      <c r="H329" s="132" t="s">
        <v>520</v>
      </c>
      <c r="I329" s="132" t="s">
        <v>108</v>
      </c>
      <c r="J329" s="133" t="s">
        <v>419</v>
      </c>
      <c r="K329" s="134" t="s">
        <v>627</v>
      </c>
      <c r="L329" s="307">
        <f t="shared" si="47"/>
        <v>14084.54</v>
      </c>
      <c r="M329" s="308"/>
      <c r="N329" s="308">
        <v>14084.54</v>
      </c>
      <c r="O329" s="296"/>
      <c r="P329" s="296"/>
      <c r="Q329" s="296"/>
      <c r="R329" s="84"/>
      <c r="S329" s="70">
        <f t="shared" si="46"/>
        <v>0</v>
      </c>
      <c r="T329" s="70"/>
      <c r="U329" s="70">
        <v>14084.54</v>
      </c>
      <c r="V329" s="9" t="s">
        <v>521</v>
      </c>
      <c r="W329" s="19"/>
      <c r="X329" s="70">
        <v>14084.54</v>
      </c>
      <c r="Y329" s="67">
        <f t="shared" si="44"/>
        <v>0</v>
      </c>
      <c r="Z329" s="52"/>
      <c r="AA329" s="52"/>
      <c r="AB329" s="19"/>
      <c r="AC329" s="24">
        <f t="shared" si="48"/>
        <v>978.5099999999984</v>
      </c>
      <c r="AD329" s="19"/>
      <c r="AE329" s="19"/>
      <c r="AF329" s="19"/>
      <c r="AG329" s="19"/>
      <c r="AH329" s="19"/>
      <c r="AI329" s="14"/>
      <c r="AJ329" s="139">
        <v>100</v>
      </c>
      <c r="AK329" s="135" t="s">
        <v>271</v>
      </c>
      <c r="AL329" s="136">
        <v>300000</v>
      </c>
      <c r="AM329" s="138">
        <v>100</v>
      </c>
    </row>
    <row r="330" spans="1:39" s="27" customFormat="1" ht="33">
      <c r="A330" s="34" t="s">
        <v>876</v>
      </c>
      <c r="B330" s="34"/>
      <c r="C330" s="72" t="s">
        <v>1195</v>
      </c>
      <c r="D330" s="72"/>
      <c r="E330" s="120" t="s">
        <v>901</v>
      </c>
      <c r="F330" s="120"/>
      <c r="G330" s="132" t="s">
        <v>418</v>
      </c>
      <c r="H330" s="132" t="s">
        <v>520</v>
      </c>
      <c r="I330" s="132" t="s">
        <v>108</v>
      </c>
      <c r="J330" s="133" t="s">
        <v>419</v>
      </c>
      <c r="K330" s="134" t="s">
        <v>628</v>
      </c>
      <c r="L330" s="307">
        <f t="shared" si="47"/>
        <v>15063.05</v>
      </c>
      <c r="M330" s="308"/>
      <c r="N330" s="308">
        <v>15063.05</v>
      </c>
      <c r="O330" s="296"/>
      <c r="P330" s="296"/>
      <c r="Q330" s="296"/>
      <c r="R330" s="84"/>
      <c r="S330" s="70">
        <f t="shared" si="46"/>
        <v>0</v>
      </c>
      <c r="T330" s="70"/>
      <c r="U330" s="70">
        <v>15063.05</v>
      </c>
      <c r="V330" s="9" t="s">
        <v>521</v>
      </c>
      <c r="W330" s="19"/>
      <c r="X330" s="70">
        <v>15063.05</v>
      </c>
      <c r="Y330" s="67">
        <f t="shared" si="44"/>
        <v>0</v>
      </c>
      <c r="Z330" s="52"/>
      <c r="AA330" s="52"/>
      <c r="AB330" s="19"/>
      <c r="AC330" s="24">
        <f t="shared" si="48"/>
        <v>-8144.8399999999992</v>
      </c>
      <c r="AD330" s="19"/>
      <c r="AE330" s="19"/>
      <c r="AF330" s="19"/>
      <c r="AG330" s="19"/>
      <c r="AH330" s="19"/>
      <c r="AI330" s="14"/>
      <c r="AJ330" s="139">
        <v>100</v>
      </c>
      <c r="AK330" s="135" t="s">
        <v>271</v>
      </c>
      <c r="AL330" s="136">
        <v>300000</v>
      </c>
      <c r="AM330" s="138">
        <v>100</v>
      </c>
    </row>
    <row r="331" spans="1:39" s="27" customFormat="1" ht="33">
      <c r="A331" s="34" t="s">
        <v>876</v>
      </c>
      <c r="B331" s="34"/>
      <c r="C331" s="72" t="s">
        <v>1195</v>
      </c>
      <c r="D331" s="72"/>
      <c r="E331" s="120" t="s">
        <v>904</v>
      </c>
      <c r="F331" s="120"/>
      <c r="G331" s="132" t="s">
        <v>418</v>
      </c>
      <c r="H331" s="132" t="s">
        <v>520</v>
      </c>
      <c r="I331" s="132" t="s">
        <v>108</v>
      </c>
      <c r="J331" s="133" t="s">
        <v>419</v>
      </c>
      <c r="K331" s="134" t="s">
        <v>629</v>
      </c>
      <c r="L331" s="307">
        <f t="shared" si="47"/>
        <v>6918.21</v>
      </c>
      <c r="M331" s="308"/>
      <c r="N331" s="308">
        <v>6918.21</v>
      </c>
      <c r="O331" s="296"/>
      <c r="P331" s="296"/>
      <c r="Q331" s="296"/>
      <c r="R331" s="84"/>
      <c r="S331" s="70">
        <f t="shared" si="46"/>
        <v>0</v>
      </c>
      <c r="T331" s="70"/>
      <c r="U331" s="70">
        <v>6918.21</v>
      </c>
      <c r="V331" s="9" t="s">
        <v>521</v>
      </c>
      <c r="W331" s="19"/>
      <c r="X331" s="70">
        <v>6918.21</v>
      </c>
      <c r="Y331" s="67">
        <f t="shared" si="44"/>
        <v>0</v>
      </c>
      <c r="Z331" s="52"/>
      <c r="AA331" s="52"/>
      <c r="AB331" s="19"/>
      <c r="AC331" s="24">
        <f t="shared" si="48"/>
        <v>1444726.79</v>
      </c>
      <c r="AD331" s="19"/>
      <c r="AE331" s="19"/>
      <c r="AF331" s="19"/>
      <c r="AG331" s="19"/>
      <c r="AH331" s="19"/>
      <c r="AI331" s="14"/>
      <c r="AJ331" s="139">
        <v>100</v>
      </c>
      <c r="AK331" s="135" t="s">
        <v>271</v>
      </c>
      <c r="AL331" s="136">
        <v>300000</v>
      </c>
      <c r="AM331" s="138">
        <v>100</v>
      </c>
    </row>
    <row r="332" spans="1:39" s="27" customFormat="1" ht="49.5">
      <c r="A332" s="34" t="s">
        <v>876</v>
      </c>
      <c r="B332" s="34"/>
      <c r="C332" s="72" t="s">
        <v>1195</v>
      </c>
      <c r="D332" s="72"/>
      <c r="E332" s="120" t="s">
        <v>905</v>
      </c>
      <c r="F332" s="120"/>
      <c r="G332" s="132" t="s">
        <v>418</v>
      </c>
      <c r="H332" s="132" t="s">
        <v>520</v>
      </c>
      <c r="I332" s="132" t="s">
        <v>108</v>
      </c>
      <c r="J332" s="133" t="s">
        <v>419</v>
      </c>
      <c r="K332" s="134" t="s">
        <v>630</v>
      </c>
      <c r="L332" s="307">
        <f t="shared" si="47"/>
        <v>1451645</v>
      </c>
      <c r="M332" s="308"/>
      <c r="N332" s="308">
        <v>1451645</v>
      </c>
      <c r="O332" s="296"/>
      <c r="P332" s="296"/>
      <c r="Q332" s="296"/>
      <c r="R332" s="84"/>
      <c r="S332" s="70">
        <f t="shared" si="46"/>
        <v>0</v>
      </c>
      <c r="T332" s="70"/>
      <c r="U332" s="70">
        <v>1451645</v>
      </c>
      <c r="V332" s="9" t="s">
        <v>521</v>
      </c>
      <c r="W332" s="19"/>
      <c r="X332" s="70">
        <v>1451645</v>
      </c>
      <c r="Y332" s="67">
        <f t="shared" si="44"/>
        <v>0</v>
      </c>
      <c r="Z332" s="52"/>
      <c r="AA332" s="52"/>
      <c r="AB332" s="19"/>
      <c r="AC332" s="24">
        <f t="shared" si="48"/>
        <v>-1382205.06</v>
      </c>
      <c r="AD332" s="19"/>
      <c r="AE332" s="19"/>
      <c r="AF332" s="19"/>
      <c r="AG332" s="19"/>
      <c r="AH332" s="19"/>
      <c r="AI332" s="14"/>
      <c r="AJ332" s="139">
        <v>100</v>
      </c>
      <c r="AK332" s="135" t="s">
        <v>271</v>
      </c>
      <c r="AL332" s="136">
        <v>2958354</v>
      </c>
      <c r="AM332" s="138">
        <v>70</v>
      </c>
    </row>
    <row r="333" spans="1:39" s="27" customFormat="1" ht="49.5">
      <c r="A333" s="34" t="s">
        <v>876</v>
      </c>
      <c r="B333" s="34"/>
      <c r="C333" s="72" t="s">
        <v>1195</v>
      </c>
      <c r="D333" s="72"/>
      <c r="E333" s="120" t="s">
        <v>905</v>
      </c>
      <c r="F333" s="120"/>
      <c r="G333" s="132" t="s">
        <v>418</v>
      </c>
      <c r="H333" s="132" t="s">
        <v>520</v>
      </c>
      <c r="I333" s="132" t="s">
        <v>108</v>
      </c>
      <c r="J333" s="133" t="s">
        <v>419</v>
      </c>
      <c r="K333" s="134" t="s">
        <v>631</v>
      </c>
      <c r="L333" s="307">
        <f t="shared" si="47"/>
        <v>69439.94</v>
      </c>
      <c r="M333" s="308"/>
      <c r="N333" s="308">
        <v>69439.94</v>
      </c>
      <c r="O333" s="296"/>
      <c r="P333" s="296"/>
      <c r="Q333" s="296"/>
      <c r="R333" s="84"/>
      <c r="S333" s="70">
        <f t="shared" si="46"/>
        <v>0</v>
      </c>
      <c r="T333" s="70"/>
      <c r="U333" s="70">
        <v>69439.94</v>
      </c>
      <c r="V333" s="9" t="s">
        <v>521</v>
      </c>
      <c r="W333" s="19"/>
      <c r="X333" s="70">
        <v>69439.94</v>
      </c>
      <c r="Y333" s="67">
        <f t="shared" si="44"/>
        <v>0</v>
      </c>
      <c r="Z333" s="52"/>
      <c r="AA333" s="52"/>
      <c r="AB333" s="19"/>
      <c r="AC333" s="24">
        <f t="shared" si="48"/>
        <v>-63575.73</v>
      </c>
      <c r="AD333" s="19"/>
      <c r="AE333" s="19"/>
      <c r="AF333" s="19"/>
      <c r="AG333" s="19"/>
      <c r="AH333" s="19"/>
      <c r="AI333" s="14"/>
      <c r="AJ333" s="139">
        <v>100</v>
      </c>
      <c r="AK333" s="135" t="s">
        <v>271</v>
      </c>
      <c r="AL333" s="136">
        <v>300000</v>
      </c>
      <c r="AM333" s="138">
        <v>100</v>
      </c>
    </row>
    <row r="334" spans="1:39" s="27" customFormat="1" ht="33">
      <c r="A334" s="34" t="s">
        <v>876</v>
      </c>
      <c r="B334" s="34"/>
      <c r="C334" s="72" t="s">
        <v>1195</v>
      </c>
      <c r="D334" s="72"/>
      <c r="E334" s="120" t="s">
        <v>903</v>
      </c>
      <c r="F334" s="120"/>
      <c r="G334" s="132" t="s">
        <v>418</v>
      </c>
      <c r="H334" s="132" t="s">
        <v>520</v>
      </c>
      <c r="I334" s="132" t="s">
        <v>108</v>
      </c>
      <c r="J334" s="133" t="s">
        <v>419</v>
      </c>
      <c r="K334" s="134" t="s">
        <v>632</v>
      </c>
      <c r="L334" s="307">
        <f t="shared" si="47"/>
        <v>5864.21</v>
      </c>
      <c r="M334" s="308"/>
      <c r="N334" s="308">
        <v>5864.21</v>
      </c>
      <c r="O334" s="296"/>
      <c r="P334" s="296"/>
      <c r="Q334" s="296"/>
      <c r="R334" s="84"/>
      <c r="S334" s="70">
        <f t="shared" si="46"/>
        <v>0</v>
      </c>
      <c r="T334" s="70"/>
      <c r="U334" s="70">
        <v>5864.21</v>
      </c>
      <c r="V334" s="9" t="s">
        <v>521</v>
      </c>
      <c r="W334" s="19"/>
      <c r="X334" s="70">
        <v>5864.21</v>
      </c>
      <c r="Y334" s="67">
        <f t="shared" si="44"/>
        <v>0</v>
      </c>
      <c r="Z334" s="52"/>
      <c r="AA334" s="52"/>
      <c r="AB334" s="19"/>
      <c r="AC334" s="24">
        <f t="shared" si="48"/>
        <v>92094.79</v>
      </c>
      <c r="AD334" s="19"/>
      <c r="AE334" s="19"/>
      <c r="AF334" s="19"/>
      <c r="AG334" s="19"/>
      <c r="AH334" s="19"/>
      <c r="AI334" s="14"/>
      <c r="AJ334" s="139">
        <v>100</v>
      </c>
      <c r="AK334" s="135" t="s">
        <v>271</v>
      </c>
      <c r="AL334" s="136">
        <v>300000</v>
      </c>
      <c r="AM334" s="138">
        <v>100</v>
      </c>
    </row>
    <row r="335" spans="1:39" s="27" customFormat="1" ht="33">
      <c r="A335" s="34" t="s">
        <v>876</v>
      </c>
      <c r="B335" s="34"/>
      <c r="C335" s="72" t="s">
        <v>1195</v>
      </c>
      <c r="D335" s="72"/>
      <c r="E335" s="120" t="s">
        <v>906</v>
      </c>
      <c r="F335" s="120"/>
      <c r="G335" s="132" t="s">
        <v>418</v>
      </c>
      <c r="H335" s="132" t="s">
        <v>520</v>
      </c>
      <c r="I335" s="132" t="s">
        <v>108</v>
      </c>
      <c r="J335" s="133" t="s">
        <v>419</v>
      </c>
      <c r="K335" s="134" t="s">
        <v>633</v>
      </c>
      <c r="L335" s="307">
        <f t="shared" si="47"/>
        <v>97959</v>
      </c>
      <c r="M335" s="308"/>
      <c r="N335" s="308">
        <v>97959</v>
      </c>
      <c r="O335" s="296"/>
      <c r="P335" s="296"/>
      <c r="Q335" s="296"/>
      <c r="R335" s="84"/>
      <c r="S335" s="70">
        <f t="shared" si="46"/>
        <v>0</v>
      </c>
      <c r="T335" s="70"/>
      <c r="U335" s="70">
        <v>97959</v>
      </c>
      <c r="V335" s="9" t="s">
        <v>521</v>
      </c>
      <c r="W335" s="19"/>
      <c r="X335" s="70">
        <v>97959</v>
      </c>
      <c r="Y335" s="67">
        <f t="shared" si="44"/>
        <v>0</v>
      </c>
      <c r="Z335" s="52"/>
      <c r="AA335" s="52"/>
      <c r="AB335" s="19"/>
      <c r="AC335" s="24">
        <f t="shared" si="48"/>
        <v>-37114.959999999999</v>
      </c>
      <c r="AD335" s="19"/>
      <c r="AE335" s="19"/>
      <c r="AF335" s="19"/>
      <c r="AG335" s="19"/>
      <c r="AH335" s="19"/>
      <c r="AI335" s="14"/>
      <c r="AJ335" s="139">
        <v>100</v>
      </c>
      <c r="AK335" s="135" t="s">
        <v>271</v>
      </c>
      <c r="AL335" s="136">
        <v>300000</v>
      </c>
      <c r="AM335" s="138">
        <v>100</v>
      </c>
    </row>
    <row r="336" spans="1:39" s="27" customFormat="1" ht="33">
      <c r="A336" s="34" t="s">
        <v>876</v>
      </c>
      <c r="B336" s="34"/>
      <c r="C336" s="72" t="s">
        <v>1195</v>
      </c>
      <c r="D336" s="72"/>
      <c r="E336" s="120" t="s">
        <v>903</v>
      </c>
      <c r="F336" s="120"/>
      <c r="G336" s="132" t="s">
        <v>418</v>
      </c>
      <c r="H336" s="132" t="s">
        <v>520</v>
      </c>
      <c r="I336" s="132" t="s">
        <v>108</v>
      </c>
      <c r="J336" s="133" t="s">
        <v>419</v>
      </c>
      <c r="K336" s="134" t="s">
        <v>634</v>
      </c>
      <c r="L336" s="307">
        <f t="shared" si="47"/>
        <v>60844.04</v>
      </c>
      <c r="M336" s="308"/>
      <c r="N336" s="308">
        <v>60844.04</v>
      </c>
      <c r="O336" s="296"/>
      <c r="P336" s="296"/>
      <c r="Q336" s="296"/>
      <c r="R336" s="84"/>
      <c r="S336" s="70">
        <f t="shared" si="46"/>
        <v>0</v>
      </c>
      <c r="T336" s="70"/>
      <c r="U336" s="70">
        <v>60844.04</v>
      </c>
      <c r="V336" s="9" t="s">
        <v>521</v>
      </c>
      <c r="W336" s="19"/>
      <c r="X336" s="70">
        <v>60844.04</v>
      </c>
      <c r="Y336" s="67">
        <f t="shared" si="44"/>
        <v>0</v>
      </c>
      <c r="Z336" s="52"/>
      <c r="AA336" s="52"/>
      <c r="AB336" s="19"/>
      <c r="AC336" s="24">
        <f t="shared" si="48"/>
        <v>-56846.1</v>
      </c>
      <c r="AD336" s="19"/>
      <c r="AE336" s="19"/>
      <c r="AF336" s="19"/>
      <c r="AG336" s="19"/>
      <c r="AH336" s="19"/>
      <c r="AI336" s="14"/>
      <c r="AJ336" s="139">
        <v>100</v>
      </c>
      <c r="AK336" s="135" t="s">
        <v>271</v>
      </c>
      <c r="AL336" s="136">
        <v>300000</v>
      </c>
      <c r="AM336" s="138">
        <v>100</v>
      </c>
    </row>
    <row r="337" spans="1:39" s="27" customFormat="1" ht="49.5">
      <c r="A337" s="34" t="s">
        <v>876</v>
      </c>
      <c r="B337" s="34"/>
      <c r="C337" s="72" t="s">
        <v>1195</v>
      </c>
      <c r="D337" s="72"/>
      <c r="E337" s="120" t="s">
        <v>903</v>
      </c>
      <c r="F337" s="120"/>
      <c r="G337" s="132" t="s">
        <v>418</v>
      </c>
      <c r="H337" s="132" t="s">
        <v>520</v>
      </c>
      <c r="I337" s="132" t="s">
        <v>108</v>
      </c>
      <c r="J337" s="133" t="s">
        <v>419</v>
      </c>
      <c r="K337" s="134" t="s">
        <v>635</v>
      </c>
      <c r="L337" s="307">
        <f t="shared" si="47"/>
        <v>3997.94</v>
      </c>
      <c r="M337" s="308"/>
      <c r="N337" s="308">
        <v>3997.94</v>
      </c>
      <c r="O337" s="296"/>
      <c r="P337" s="296"/>
      <c r="Q337" s="296"/>
      <c r="R337" s="84"/>
      <c r="S337" s="70">
        <f t="shared" si="46"/>
        <v>0</v>
      </c>
      <c r="T337" s="70"/>
      <c r="U337" s="70">
        <v>3997.94</v>
      </c>
      <c r="V337" s="9" t="s">
        <v>521</v>
      </c>
      <c r="W337" s="19"/>
      <c r="X337" s="70">
        <v>3997.94</v>
      </c>
      <c r="Y337" s="67">
        <f t="shared" si="44"/>
        <v>0</v>
      </c>
      <c r="Z337" s="52"/>
      <c r="AA337" s="52"/>
      <c r="AB337" s="19"/>
      <c r="AC337" s="24">
        <f t="shared" si="48"/>
        <v>-1972.3400000000001</v>
      </c>
      <c r="AD337" s="19"/>
      <c r="AE337" s="19"/>
      <c r="AF337" s="19"/>
      <c r="AG337" s="19"/>
      <c r="AH337" s="19"/>
      <c r="AI337" s="14"/>
      <c r="AJ337" s="139">
        <v>100</v>
      </c>
      <c r="AK337" s="135" t="s">
        <v>271</v>
      </c>
      <c r="AL337" s="136">
        <v>300000</v>
      </c>
      <c r="AM337" s="138">
        <v>100</v>
      </c>
    </row>
    <row r="338" spans="1:39" s="27" customFormat="1" ht="49.5">
      <c r="A338" s="34" t="s">
        <v>876</v>
      </c>
      <c r="B338" s="34"/>
      <c r="C338" s="72" t="s">
        <v>1195</v>
      </c>
      <c r="D338" s="72"/>
      <c r="E338" s="120" t="s">
        <v>906</v>
      </c>
      <c r="F338" s="120"/>
      <c r="G338" s="132" t="s">
        <v>418</v>
      </c>
      <c r="H338" s="132" t="s">
        <v>520</v>
      </c>
      <c r="I338" s="132" t="s">
        <v>108</v>
      </c>
      <c r="J338" s="133" t="s">
        <v>419</v>
      </c>
      <c r="K338" s="134" t="s">
        <v>636</v>
      </c>
      <c r="L338" s="307">
        <f t="shared" si="47"/>
        <v>2025.6</v>
      </c>
      <c r="M338" s="308"/>
      <c r="N338" s="308">
        <v>2025.6</v>
      </c>
      <c r="O338" s="296"/>
      <c r="P338" s="296"/>
      <c r="Q338" s="296"/>
      <c r="R338" s="84"/>
      <c r="S338" s="70">
        <f t="shared" si="46"/>
        <v>0</v>
      </c>
      <c r="T338" s="70"/>
      <c r="U338" s="70">
        <v>2025.6</v>
      </c>
      <c r="V338" s="9" t="s">
        <v>521</v>
      </c>
      <c r="W338" s="19"/>
      <c r="X338" s="70">
        <v>2025.6</v>
      </c>
      <c r="Y338" s="67">
        <f t="shared" si="44"/>
        <v>0</v>
      </c>
      <c r="Z338" s="52"/>
      <c r="AA338" s="52"/>
      <c r="AB338" s="19"/>
      <c r="AC338" s="24">
        <f t="shared" si="48"/>
        <v>-1533.61</v>
      </c>
      <c r="AD338" s="19"/>
      <c r="AE338" s="19"/>
      <c r="AF338" s="19"/>
      <c r="AG338" s="19"/>
      <c r="AH338" s="19"/>
      <c r="AI338" s="14"/>
      <c r="AJ338" s="139">
        <v>100</v>
      </c>
      <c r="AK338" s="135" t="s">
        <v>271</v>
      </c>
      <c r="AL338" s="136">
        <v>300000</v>
      </c>
      <c r="AM338" s="138">
        <v>100</v>
      </c>
    </row>
    <row r="339" spans="1:39" s="27" customFormat="1" ht="66">
      <c r="A339" s="34" t="s">
        <v>876</v>
      </c>
      <c r="B339" s="34"/>
      <c r="C339" s="72" t="s">
        <v>1195</v>
      </c>
      <c r="D339" s="72"/>
      <c r="E339" s="120" t="s">
        <v>904</v>
      </c>
      <c r="F339" s="120"/>
      <c r="G339" s="132" t="s">
        <v>418</v>
      </c>
      <c r="H339" s="132" t="s">
        <v>520</v>
      </c>
      <c r="I339" s="132" t="s">
        <v>108</v>
      </c>
      <c r="J339" s="133" t="s">
        <v>419</v>
      </c>
      <c r="K339" s="134" t="s">
        <v>637</v>
      </c>
      <c r="L339" s="307">
        <f t="shared" si="47"/>
        <v>491.99</v>
      </c>
      <c r="M339" s="308"/>
      <c r="N339" s="308">
        <v>491.99</v>
      </c>
      <c r="O339" s="296"/>
      <c r="P339" s="296"/>
      <c r="Q339" s="296"/>
      <c r="R339" s="84"/>
      <c r="S339" s="70">
        <f t="shared" si="46"/>
        <v>0</v>
      </c>
      <c r="T339" s="70"/>
      <c r="U339" s="70">
        <v>491.99</v>
      </c>
      <c r="V339" s="9" t="s">
        <v>521</v>
      </c>
      <c r="W339" s="19"/>
      <c r="X339" s="70">
        <v>491.99</v>
      </c>
      <c r="Y339" s="67">
        <f t="shared" ref="Y339:Y402" si="49">N339-X339</f>
        <v>0</v>
      </c>
      <c r="Z339" s="52"/>
      <c r="AA339" s="52"/>
      <c r="AB339" s="19"/>
      <c r="AC339" s="24">
        <f t="shared" si="48"/>
        <v>708.01</v>
      </c>
      <c r="AD339" s="19"/>
      <c r="AE339" s="19"/>
      <c r="AF339" s="19"/>
      <c r="AG339" s="19"/>
      <c r="AH339" s="19"/>
      <c r="AI339" s="14"/>
      <c r="AJ339" s="139">
        <v>100</v>
      </c>
      <c r="AK339" s="135" t="s">
        <v>271</v>
      </c>
      <c r="AL339" s="136">
        <v>199000</v>
      </c>
      <c r="AM339" s="138">
        <v>100</v>
      </c>
    </row>
    <row r="340" spans="1:39" s="27" customFormat="1" ht="33">
      <c r="A340" s="34" t="s">
        <v>876</v>
      </c>
      <c r="B340" s="34"/>
      <c r="C340" s="72" t="s">
        <v>1195</v>
      </c>
      <c r="D340" s="72"/>
      <c r="E340" s="120" t="s">
        <v>902</v>
      </c>
      <c r="F340" s="120"/>
      <c r="G340" s="132" t="s">
        <v>418</v>
      </c>
      <c r="H340" s="132" t="s">
        <v>520</v>
      </c>
      <c r="I340" s="132" t="s">
        <v>108</v>
      </c>
      <c r="J340" s="133" t="s">
        <v>419</v>
      </c>
      <c r="K340" s="134" t="s">
        <v>639</v>
      </c>
      <c r="L340" s="307">
        <f t="shared" si="47"/>
        <v>1200</v>
      </c>
      <c r="M340" s="308"/>
      <c r="N340" s="308">
        <v>1200</v>
      </c>
      <c r="O340" s="296"/>
      <c r="P340" s="296"/>
      <c r="Q340" s="296"/>
      <c r="R340" s="84"/>
      <c r="S340" s="70">
        <f t="shared" si="46"/>
        <v>0</v>
      </c>
      <c r="T340" s="70"/>
      <c r="U340" s="70">
        <v>1200</v>
      </c>
      <c r="V340" s="9" t="s">
        <v>521</v>
      </c>
      <c r="W340" s="19"/>
      <c r="X340" s="70">
        <v>1200</v>
      </c>
      <c r="Y340" s="67">
        <f t="shared" si="49"/>
        <v>0</v>
      </c>
      <c r="Z340" s="52"/>
      <c r="AA340" s="52"/>
      <c r="AB340" s="19"/>
      <c r="AC340" s="24">
        <f t="shared" si="48"/>
        <v>2809.51</v>
      </c>
      <c r="AD340" s="19"/>
      <c r="AE340" s="19"/>
      <c r="AF340" s="19"/>
      <c r="AG340" s="19"/>
      <c r="AH340" s="19"/>
      <c r="AI340" s="14"/>
      <c r="AJ340" s="139">
        <v>100</v>
      </c>
      <c r="AK340" s="135" t="s">
        <v>271</v>
      </c>
      <c r="AL340" s="136">
        <v>133000</v>
      </c>
      <c r="AM340" s="138">
        <v>100</v>
      </c>
    </row>
    <row r="341" spans="1:39" s="66" customFormat="1" ht="33">
      <c r="A341" s="72" t="s">
        <v>876</v>
      </c>
      <c r="B341" s="72"/>
      <c r="C341" s="72" t="s">
        <v>1195</v>
      </c>
      <c r="D341" s="72"/>
      <c r="E341" s="120" t="s">
        <v>902</v>
      </c>
      <c r="F341" s="120"/>
      <c r="G341" s="132" t="s">
        <v>418</v>
      </c>
      <c r="H341" s="132" t="s">
        <v>520</v>
      </c>
      <c r="I341" s="132" t="s">
        <v>108</v>
      </c>
      <c r="J341" s="133" t="s">
        <v>419</v>
      </c>
      <c r="K341" s="134" t="s">
        <v>839</v>
      </c>
      <c r="L341" s="307">
        <f t="shared" si="47"/>
        <v>4009.51</v>
      </c>
      <c r="M341" s="308"/>
      <c r="N341" s="308">
        <v>4009.51</v>
      </c>
      <c r="O341" s="296"/>
      <c r="P341" s="296"/>
      <c r="Q341" s="296"/>
      <c r="R341" s="84"/>
      <c r="S341" s="70">
        <f t="shared" si="46"/>
        <v>0</v>
      </c>
      <c r="T341" s="70"/>
      <c r="U341" s="70">
        <v>4009.51</v>
      </c>
      <c r="V341" s="69" t="s">
        <v>521</v>
      </c>
      <c r="W341" s="67"/>
      <c r="X341" s="70">
        <v>4009.51</v>
      </c>
      <c r="Y341" s="67">
        <f t="shared" si="49"/>
        <v>0</v>
      </c>
      <c r="Z341" s="67"/>
      <c r="AA341" s="67"/>
      <c r="AB341" s="67"/>
      <c r="AC341" s="65">
        <f t="shared" si="48"/>
        <v>12090.49</v>
      </c>
      <c r="AD341" s="67"/>
      <c r="AE341" s="67"/>
      <c r="AF341" s="67"/>
      <c r="AG341" s="67"/>
      <c r="AH341" s="67"/>
      <c r="AI341" s="71"/>
      <c r="AJ341" s="139">
        <v>100</v>
      </c>
      <c r="AK341" s="135" t="s">
        <v>271</v>
      </c>
      <c r="AL341" s="136">
        <v>188600</v>
      </c>
      <c r="AM341" s="138">
        <v>100</v>
      </c>
    </row>
    <row r="342" spans="1:39" s="66" customFormat="1" ht="33">
      <c r="A342" s="72" t="s">
        <v>876</v>
      </c>
      <c r="B342" s="72"/>
      <c r="C342" s="72" t="s">
        <v>1195</v>
      </c>
      <c r="D342" s="72"/>
      <c r="E342" s="120" t="s">
        <v>903</v>
      </c>
      <c r="F342" s="120"/>
      <c r="G342" s="132" t="s">
        <v>418</v>
      </c>
      <c r="H342" s="132" t="s">
        <v>520</v>
      </c>
      <c r="I342" s="132" t="s">
        <v>108</v>
      </c>
      <c r="J342" s="133" t="s">
        <v>419</v>
      </c>
      <c r="K342" s="134" t="s">
        <v>640</v>
      </c>
      <c r="L342" s="307">
        <f t="shared" si="47"/>
        <v>16100</v>
      </c>
      <c r="M342" s="308"/>
      <c r="N342" s="308">
        <v>16100</v>
      </c>
      <c r="O342" s="296"/>
      <c r="P342" s="296"/>
      <c r="Q342" s="296"/>
      <c r="R342" s="84"/>
      <c r="S342" s="70">
        <f t="shared" si="46"/>
        <v>0</v>
      </c>
      <c r="T342" s="70"/>
      <c r="U342" s="70">
        <v>16100</v>
      </c>
      <c r="V342" s="69" t="s">
        <v>521</v>
      </c>
      <c r="W342" s="67"/>
      <c r="X342" s="70">
        <v>16100</v>
      </c>
      <c r="Y342" s="67">
        <f t="shared" si="49"/>
        <v>0</v>
      </c>
      <c r="Z342" s="67"/>
      <c r="AA342" s="67"/>
      <c r="AB342" s="67"/>
      <c r="AC342" s="65">
        <f t="shared" si="48"/>
        <v>2700</v>
      </c>
      <c r="AD342" s="67"/>
      <c r="AE342" s="67"/>
      <c r="AF342" s="67"/>
      <c r="AG342" s="67"/>
      <c r="AH342" s="67"/>
      <c r="AI342" s="71"/>
      <c r="AJ342" s="139">
        <v>100</v>
      </c>
      <c r="AK342" s="135" t="s">
        <v>271</v>
      </c>
      <c r="AL342" s="136">
        <v>170000</v>
      </c>
      <c r="AM342" s="138">
        <v>100</v>
      </c>
    </row>
    <row r="343" spans="1:39" s="27" customFormat="1" ht="33">
      <c r="A343" s="34" t="s">
        <v>876</v>
      </c>
      <c r="B343" s="34"/>
      <c r="C343" s="72" t="s">
        <v>1195</v>
      </c>
      <c r="D343" s="72"/>
      <c r="E343" s="120" t="s">
        <v>904</v>
      </c>
      <c r="F343" s="120"/>
      <c r="G343" s="132" t="s">
        <v>418</v>
      </c>
      <c r="H343" s="132" t="s">
        <v>520</v>
      </c>
      <c r="I343" s="132" t="s">
        <v>108</v>
      </c>
      <c r="J343" s="133" t="s">
        <v>419</v>
      </c>
      <c r="K343" s="134" t="s">
        <v>641</v>
      </c>
      <c r="L343" s="307">
        <f t="shared" si="47"/>
        <v>18800</v>
      </c>
      <c r="M343" s="308"/>
      <c r="N343" s="308">
        <v>18800</v>
      </c>
      <c r="O343" s="296"/>
      <c r="P343" s="296"/>
      <c r="Q343" s="296"/>
      <c r="R343" s="84"/>
      <c r="S343" s="70">
        <f t="shared" si="46"/>
        <v>0</v>
      </c>
      <c r="T343" s="70"/>
      <c r="U343" s="70">
        <v>18800</v>
      </c>
      <c r="V343" s="9" t="s">
        <v>521</v>
      </c>
      <c r="W343" s="19"/>
      <c r="X343" s="70">
        <v>18800</v>
      </c>
      <c r="Y343" s="67">
        <f t="shared" si="49"/>
        <v>0</v>
      </c>
      <c r="Z343" s="52"/>
      <c r="AA343" s="52"/>
      <c r="AB343" s="19"/>
      <c r="AC343" s="24">
        <f t="shared" si="48"/>
        <v>-15685</v>
      </c>
      <c r="AD343" s="19"/>
      <c r="AE343" s="19"/>
      <c r="AF343" s="19"/>
      <c r="AG343" s="19"/>
      <c r="AH343" s="19"/>
      <c r="AI343" s="14"/>
      <c r="AJ343" s="139">
        <v>100</v>
      </c>
      <c r="AK343" s="135" t="s">
        <v>271</v>
      </c>
      <c r="AL343" s="136">
        <v>200000</v>
      </c>
      <c r="AM343" s="138">
        <v>100</v>
      </c>
    </row>
    <row r="344" spans="1:39" s="27" customFormat="1" ht="33">
      <c r="A344" s="34" t="s">
        <v>876</v>
      </c>
      <c r="B344" s="34"/>
      <c r="C344" s="72" t="s">
        <v>1195</v>
      </c>
      <c r="D344" s="72"/>
      <c r="E344" s="120" t="s">
        <v>904</v>
      </c>
      <c r="F344" s="120"/>
      <c r="G344" s="132" t="s">
        <v>418</v>
      </c>
      <c r="H344" s="132" t="s">
        <v>520</v>
      </c>
      <c r="I344" s="132" t="s">
        <v>108</v>
      </c>
      <c r="J344" s="133" t="s">
        <v>419</v>
      </c>
      <c r="K344" s="134" t="s">
        <v>642</v>
      </c>
      <c r="L344" s="307">
        <f t="shared" si="47"/>
        <v>3115</v>
      </c>
      <c r="M344" s="308"/>
      <c r="N344" s="308">
        <v>3115</v>
      </c>
      <c r="O344" s="296"/>
      <c r="P344" s="296"/>
      <c r="Q344" s="296"/>
      <c r="R344" s="84"/>
      <c r="S344" s="70">
        <f t="shared" si="46"/>
        <v>0</v>
      </c>
      <c r="T344" s="70"/>
      <c r="U344" s="70">
        <v>3115</v>
      </c>
      <c r="V344" s="9" t="s">
        <v>521</v>
      </c>
      <c r="W344" s="19"/>
      <c r="X344" s="70">
        <v>3115</v>
      </c>
      <c r="Y344" s="67">
        <f t="shared" si="49"/>
        <v>0</v>
      </c>
      <c r="Z344" s="52"/>
      <c r="AA344" s="52"/>
      <c r="AB344" s="19"/>
      <c r="AC344" s="24">
        <f t="shared" si="48"/>
        <v>33127.269999999997</v>
      </c>
      <c r="AD344" s="19"/>
      <c r="AE344" s="19"/>
      <c r="AF344" s="19"/>
      <c r="AG344" s="19"/>
      <c r="AH344" s="19"/>
      <c r="AI344" s="14"/>
      <c r="AJ344" s="139">
        <v>100</v>
      </c>
      <c r="AK344" s="135" t="s">
        <v>271</v>
      </c>
      <c r="AL344" s="136">
        <v>200000</v>
      </c>
      <c r="AM344" s="138">
        <v>100</v>
      </c>
    </row>
    <row r="345" spans="1:39" s="27" customFormat="1" ht="49.5">
      <c r="A345" s="34" t="s">
        <v>876</v>
      </c>
      <c r="B345" s="34"/>
      <c r="C345" s="72" t="s">
        <v>1195</v>
      </c>
      <c r="D345" s="72"/>
      <c r="E345" s="120" t="s">
        <v>903</v>
      </c>
      <c r="F345" s="120"/>
      <c r="G345" s="132" t="s">
        <v>418</v>
      </c>
      <c r="H345" s="132" t="s">
        <v>520</v>
      </c>
      <c r="I345" s="132" t="s">
        <v>108</v>
      </c>
      <c r="J345" s="133" t="s">
        <v>419</v>
      </c>
      <c r="K345" s="134" t="s">
        <v>643</v>
      </c>
      <c r="L345" s="307">
        <f t="shared" si="47"/>
        <v>36242.269999999997</v>
      </c>
      <c r="M345" s="308"/>
      <c r="N345" s="308">
        <v>36242.269999999997</v>
      </c>
      <c r="O345" s="296"/>
      <c r="P345" s="296"/>
      <c r="Q345" s="296"/>
      <c r="R345" s="84"/>
      <c r="S345" s="70">
        <f t="shared" si="46"/>
        <v>0</v>
      </c>
      <c r="T345" s="70"/>
      <c r="U345" s="70">
        <v>36242.269999999997</v>
      </c>
      <c r="V345" s="9" t="s">
        <v>521</v>
      </c>
      <c r="W345" s="19"/>
      <c r="X345" s="70">
        <v>36242.269999999997</v>
      </c>
      <c r="Y345" s="67">
        <f t="shared" si="49"/>
        <v>0</v>
      </c>
      <c r="Z345" s="52"/>
      <c r="AA345" s="52"/>
      <c r="AB345" s="19"/>
      <c r="AC345" s="24">
        <f t="shared" si="48"/>
        <v>-34337.07</v>
      </c>
      <c r="AD345" s="19"/>
      <c r="AE345" s="19"/>
      <c r="AF345" s="19"/>
      <c r="AG345" s="19"/>
      <c r="AH345" s="19"/>
      <c r="AI345" s="14"/>
      <c r="AJ345" s="139">
        <v>100</v>
      </c>
      <c r="AK345" s="135" t="s">
        <v>271</v>
      </c>
      <c r="AL345" s="136">
        <v>200000</v>
      </c>
      <c r="AM345" s="138">
        <v>100</v>
      </c>
    </row>
    <row r="346" spans="1:39" s="27" customFormat="1" ht="33">
      <c r="A346" s="34" t="s">
        <v>876</v>
      </c>
      <c r="B346" s="34"/>
      <c r="C346" s="72" t="s">
        <v>1195</v>
      </c>
      <c r="D346" s="72"/>
      <c r="E346" s="120" t="s">
        <v>905</v>
      </c>
      <c r="F346" s="120"/>
      <c r="G346" s="132" t="s">
        <v>418</v>
      </c>
      <c r="H346" s="132" t="s">
        <v>520</v>
      </c>
      <c r="I346" s="132" t="s">
        <v>108</v>
      </c>
      <c r="J346" s="133" t="s">
        <v>419</v>
      </c>
      <c r="K346" s="134" t="s">
        <v>644</v>
      </c>
      <c r="L346" s="307">
        <f t="shared" si="47"/>
        <v>1905.2</v>
      </c>
      <c r="M346" s="308"/>
      <c r="N346" s="308">
        <v>1905.2</v>
      </c>
      <c r="O346" s="296"/>
      <c r="P346" s="296"/>
      <c r="Q346" s="296"/>
      <c r="R346" s="84"/>
      <c r="S346" s="70">
        <f t="shared" si="46"/>
        <v>0</v>
      </c>
      <c r="T346" s="70"/>
      <c r="U346" s="70">
        <v>1905.2</v>
      </c>
      <c r="V346" s="9" t="s">
        <v>521</v>
      </c>
      <c r="W346" s="19"/>
      <c r="X346" s="70">
        <v>1905.2</v>
      </c>
      <c r="Y346" s="67">
        <f t="shared" si="49"/>
        <v>0</v>
      </c>
      <c r="Z346" s="52"/>
      <c r="AA346" s="52"/>
      <c r="AB346" s="19"/>
      <c r="AC346" s="24">
        <f t="shared" si="48"/>
        <v>43094.8</v>
      </c>
      <c r="AD346" s="19"/>
      <c r="AE346" s="19"/>
      <c r="AF346" s="19"/>
      <c r="AG346" s="19"/>
      <c r="AH346" s="19"/>
      <c r="AI346" s="14"/>
      <c r="AJ346" s="139">
        <v>100</v>
      </c>
      <c r="AK346" s="135" t="s">
        <v>271</v>
      </c>
      <c r="AL346" s="136">
        <v>200000</v>
      </c>
      <c r="AM346" s="138">
        <v>100</v>
      </c>
    </row>
    <row r="347" spans="1:39" s="27" customFormat="1" ht="33">
      <c r="A347" s="34" t="s">
        <v>876</v>
      </c>
      <c r="B347" s="34"/>
      <c r="C347" s="72" t="s">
        <v>1195</v>
      </c>
      <c r="D347" s="72"/>
      <c r="E347" s="120" t="s">
        <v>906</v>
      </c>
      <c r="F347" s="120"/>
      <c r="G347" s="132" t="s">
        <v>418</v>
      </c>
      <c r="H347" s="132" t="s">
        <v>520</v>
      </c>
      <c r="I347" s="132" t="s">
        <v>108</v>
      </c>
      <c r="J347" s="133" t="s">
        <v>419</v>
      </c>
      <c r="K347" s="134" t="s">
        <v>645</v>
      </c>
      <c r="L347" s="307">
        <f t="shared" si="47"/>
        <v>45000</v>
      </c>
      <c r="M347" s="308"/>
      <c r="N347" s="308">
        <v>45000</v>
      </c>
      <c r="O347" s="296"/>
      <c r="P347" s="296"/>
      <c r="Q347" s="296"/>
      <c r="R347" s="84"/>
      <c r="S347" s="70">
        <f t="shared" si="46"/>
        <v>0</v>
      </c>
      <c r="T347" s="70"/>
      <c r="U347" s="70">
        <v>45000</v>
      </c>
      <c r="V347" s="9" t="s">
        <v>521</v>
      </c>
      <c r="W347" s="19"/>
      <c r="X347" s="70">
        <v>45000</v>
      </c>
      <c r="Y347" s="67">
        <f t="shared" si="49"/>
        <v>0</v>
      </c>
      <c r="Z347" s="52"/>
      <c r="AA347" s="52"/>
      <c r="AB347" s="19"/>
      <c r="AC347" s="24">
        <f t="shared" si="48"/>
        <v>97000</v>
      </c>
      <c r="AD347" s="19"/>
      <c r="AE347" s="19"/>
      <c r="AF347" s="19"/>
      <c r="AG347" s="19"/>
      <c r="AH347" s="19"/>
      <c r="AI347" s="14"/>
      <c r="AJ347" s="139">
        <v>100</v>
      </c>
      <c r="AK347" s="135" t="s">
        <v>753</v>
      </c>
      <c r="AL347" s="136">
        <v>45000</v>
      </c>
      <c r="AM347" s="138">
        <v>95</v>
      </c>
    </row>
    <row r="348" spans="1:39" s="27" customFormat="1" ht="33">
      <c r="A348" s="34" t="s">
        <v>876</v>
      </c>
      <c r="B348" s="34"/>
      <c r="C348" s="72" t="s">
        <v>1195</v>
      </c>
      <c r="D348" s="72"/>
      <c r="E348" s="120" t="s">
        <v>903</v>
      </c>
      <c r="F348" s="120"/>
      <c r="G348" s="132" t="s">
        <v>418</v>
      </c>
      <c r="H348" s="132" t="s">
        <v>520</v>
      </c>
      <c r="I348" s="132" t="s">
        <v>108</v>
      </c>
      <c r="J348" s="133" t="s">
        <v>419</v>
      </c>
      <c r="K348" s="134" t="s">
        <v>992</v>
      </c>
      <c r="L348" s="307">
        <f t="shared" si="47"/>
        <v>142000</v>
      </c>
      <c r="M348" s="308"/>
      <c r="N348" s="308">
        <v>142000</v>
      </c>
      <c r="O348" s="296"/>
      <c r="P348" s="296"/>
      <c r="Q348" s="296"/>
      <c r="R348" s="84"/>
      <c r="S348" s="70">
        <f t="shared" si="46"/>
        <v>0</v>
      </c>
      <c r="T348" s="70"/>
      <c r="U348" s="70">
        <v>142000</v>
      </c>
      <c r="V348" s="9" t="s">
        <v>521</v>
      </c>
      <c r="W348" s="19"/>
      <c r="X348" s="70">
        <v>142000</v>
      </c>
      <c r="Y348" s="67">
        <f t="shared" si="49"/>
        <v>0</v>
      </c>
      <c r="Z348" s="52"/>
      <c r="AA348" s="52"/>
      <c r="AB348" s="19"/>
      <c r="AC348" s="24">
        <f t="shared" si="48"/>
        <v>-123793.4</v>
      </c>
      <c r="AD348" s="19"/>
      <c r="AE348" s="19"/>
      <c r="AF348" s="19"/>
      <c r="AG348" s="19"/>
      <c r="AH348" s="19"/>
      <c r="AI348" s="14"/>
      <c r="AJ348" s="139">
        <v>100</v>
      </c>
      <c r="AK348" s="135" t="s">
        <v>271</v>
      </c>
      <c r="AL348" s="136">
        <v>262000</v>
      </c>
      <c r="AM348" s="138">
        <v>95</v>
      </c>
    </row>
    <row r="349" spans="1:39" s="27" customFormat="1" ht="49.5">
      <c r="A349" s="34" t="s">
        <v>876</v>
      </c>
      <c r="B349" s="34"/>
      <c r="C349" s="72" t="s">
        <v>1195</v>
      </c>
      <c r="D349" s="72"/>
      <c r="E349" s="120" t="s">
        <v>905</v>
      </c>
      <c r="F349" s="120"/>
      <c r="G349" s="132" t="s">
        <v>418</v>
      </c>
      <c r="H349" s="132" t="s">
        <v>520</v>
      </c>
      <c r="I349" s="132" t="s">
        <v>108</v>
      </c>
      <c r="J349" s="133" t="s">
        <v>419</v>
      </c>
      <c r="K349" s="134" t="s">
        <v>646</v>
      </c>
      <c r="L349" s="307">
        <f t="shared" si="47"/>
        <v>18206.599999999999</v>
      </c>
      <c r="M349" s="308"/>
      <c r="N349" s="308">
        <v>18206.599999999999</v>
      </c>
      <c r="O349" s="296"/>
      <c r="P349" s="296"/>
      <c r="Q349" s="296"/>
      <c r="R349" s="84"/>
      <c r="S349" s="70">
        <f t="shared" si="46"/>
        <v>0</v>
      </c>
      <c r="T349" s="70"/>
      <c r="U349" s="70">
        <v>18206.599999999999</v>
      </c>
      <c r="V349" s="9" t="s">
        <v>521</v>
      </c>
      <c r="W349" s="19"/>
      <c r="X349" s="70">
        <v>18206.599999999999</v>
      </c>
      <c r="Y349" s="67">
        <f t="shared" si="49"/>
        <v>0</v>
      </c>
      <c r="Z349" s="52"/>
      <c r="AA349" s="52"/>
      <c r="AB349" s="19"/>
      <c r="AC349" s="24">
        <f t="shared" si="48"/>
        <v>115837.13999999998</v>
      </c>
      <c r="AD349" s="19"/>
      <c r="AE349" s="19"/>
      <c r="AF349" s="19"/>
      <c r="AG349" s="19"/>
      <c r="AH349" s="19"/>
      <c r="AI349" s="14"/>
      <c r="AJ349" s="139">
        <v>100</v>
      </c>
      <c r="AK349" s="135" t="s">
        <v>271</v>
      </c>
      <c r="AL349" s="136">
        <v>436000</v>
      </c>
      <c r="AM349" s="138">
        <v>95</v>
      </c>
    </row>
    <row r="350" spans="1:39" s="27" customFormat="1" ht="49.5">
      <c r="A350" s="34" t="s">
        <v>876</v>
      </c>
      <c r="B350" s="34"/>
      <c r="C350" s="72" t="s">
        <v>1195</v>
      </c>
      <c r="D350" s="72"/>
      <c r="E350" s="120" t="s">
        <v>902</v>
      </c>
      <c r="F350" s="120"/>
      <c r="G350" s="132" t="s">
        <v>418</v>
      </c>
      <c r="H350" s="132" t="s">
        <v>520</v>
      </c>
      <c r="I350" s="132" t="s">
        <v>108</v>
      </c>
      <c r="J350" s="133" t="s">
        <v>419</v>
      </c>
      <c r="K350" s="134" t="s">
        <v>647</v>
      </c>
      <c r="L350" s="307">
        <f t="shared" si="47"/>
        <v>134043.74</v>
      </c>
      <c r="M350" s="308"/>
      <c r="N350" s="308">
        <v>134043.74</v>
      </c>
      <c r="O350" s="296"/>
      <c r="P350" s="296"/>
      <c r="Q350" s="296"/>
      <c r="R350" s="84"/>
      <c r="S350" s="70">
        <f t="shared" si="46"/>
        <v>0</v>
      </c>
      <c r="T350" s="70"/>
      <c r="U350" s="70">
        <v>134043.74</v>
      </c>
      <c r="V350" s="9" t="s">
        <v>521</v>
      </c>
      <c r="W350" s="19"/>
      <c r="X350" s="70">
        <v>134043.74</v>
      </c>
      <c r="Y350" s="67">
        <f t="shared" si="49"/>
        <v>0</v>
      </c>
      <c r="Z350" s="52"/>
      <c r="AA350" s="52"/>
      <c r="AB350" s="19"/>
      <c r="AC350" s="24">
        <f t="shared" si="48"/>
        <v>-120007.34</v>
      </c>
      <c r="AD350" s="19"/>
      <c r="AE350" s="19"/>
      <c r="AF350" s="19"/>
      <c r="AG350" s="19"/>
      <c r="AH350" s="19"/>
      <c r="AI350" s="14"/>
      <c r="AJ350" s="139">
        <v>100</v>
      </c>
      <c r="AK350" s="135" t="s">
        <v>271</v>
      </c>
      <c r="AL350" s="136">
        <v>488478</v>
      </c>
      <c r="AM350" s="138">
        <v>95</v>
      </c>
    </row>
    <row r="351" spans="1:39" s="27" customFormat="1" ht="49.5">
      <c r="A351" s="34" t="s">
        <v>876</v>
      </c>
      <c r="B351" s="34"/>
      <c r="C351" s="72" t="s">
        <v>1195</v>
      </c>
      <c r="D351" s="72"/>
      <c r="E351" s="120" t="s">
        <v>902</v>
      </c>
      <c r="F351" s="120"/>
      <c r="G351" s="132" t="s">
        <v>418</v>
      </c>
      <c r="H351" s="132" t="s">
        <v>520</v>
      </c>
      <c r="I351" s="132" t="s">
        <v>108</v>
      </c>
      <c r="J351" s="133" t="s">
        <v>419</v>
      </c>
      <c r="K351" s="134" t="s">
        <v>648</v>
      </c>
      <c r="L351" s="307">
        <f t="shared" si="47"/>
        <v>14036.4</v>
      </c>
      <c r="M351" s="308"/>
      <c r="N351" s="308">
        <v>14036.4</v>
      </c>
      <c r="O351" s="296"/>
      <c r="P351" s="296"/>
      <c r="Q351" s="296"/>
      <c r="R351" s="84"/>
      <c r="S351" s="70">
        <f t="shared" si="46"/>
        <v>0</v>
      </c>
      <c r="T351" s="70"/>
      <c r="U351" s="70">
        <v>14036.4</v>
      </c>
      <c r="V351" s="9" t="s">
        <v>521</v>
      </c>
      <c r="W351" s="19"/>
      <c r="X351" s="70">
        <v>14036.4</v>
      </c>
      <c r="Y351" s="67">
        <f t="shared" si="49"/>
        <v>0</v>
      </c>
      <c r="Z351" s="52"/>
      <c r="AA351" s="52"/>
      <c r="AB351" s="19"/>
      <c r="AC351" s="24">
        <f t="shared" si="48"/>
        <v>35963.599999999999</v>
      </c>
      <c r="AD351" s="19"/>
      <c r="AE351" s="19"/>
      <c r="AF351" s="19"/>
      <c r="AG351" s="19"/>
      <c r="AH351" s="19"/>
      <c r="AI351" s="14"/>
      <c r="AJ351" s="139">
        <v>100</v>
      </c>
      <c r="AK351" s="135" t="s">
        <v>271</v>
      </c>
      <c r="AL351" s="136">
        <v>190800.53</v>
      </c>
      <c r="AM351" s="138">
        <v>95</v>
      </c>
    </row>
    <row r="352" spans="1:39" s="27" customFormat="1" ht="33">
      <c r="A352" s="34" t="s">
        <v>876</v>
      </c>
      <c r="B352" s="34"/>
      <c r="C352" s="72" t="s">
        <v>1195</v>
      </c>
      <c r="D352" s="72"/>
      <c r="E352" s="120" t="s">
        <v>905</v>
      </c>
      <c r="F352" s="120"/>
      <c r="G352" s="132" t="s">
        <v>418</v>
      </c>
      <c r="H352" s="132" t="s">
        <v>520</v>
      </c>
      <c r="I352" s="132" t="s">
        <v>108</v>
      </c>
      <c r="J352" s="133" t="s">
        <v>419</v>
      </c>
      <c r="K352" s="134" t="s">
        <v>649</v>
      </c>
      <c r="L352" s="307">
        <f t="shared" si="47"/>
        <v>50000</v>
      </c>
      <c r="M352" s="308"/>
      <c r="N352" s="308">
        <v>50000</v>
      </c>
      <c r="O352" s="296"/>
      <c r="P352" s="296"/>
      <c r="Q352" s="296"/>
      <c r="R352" s="84"/>
      <c r="S352" s="70">
        <f t="shared" si="46"/>
        <v>0</v>
      </c>
      <c r="T352" s="70"/>
      <c r="U352" s="70">
        <v>50000</v>
      </c>
      <c r="V352" s="9" t="s">
        <v>521</v>
      </c>
      <c r="W352" s="19"/>
      <c r="X352" s="70">
        <v>50000</v>
      </c>
      <c r="Y352" s="67">
        <f t="shared" si="49"/>
        <v>0</v>
      </c>
      <c r="Z352" s="52"/>
      <c r="AA352" s="52"/>
      <c r="AB352" s="19"/>
      <c r="AC352" s="24">
        <f t="shared" si="48"/>
        <v>40000</v>
      </c>
      <c r="AD352" s="19"/>
      <c r="AE352" s="19"/>
      <c r="AF352" s="19"/>
      <c r="AG352" s="19"/>
      <c r="AH352" s="19"/>
      <c r="AI352" s="14"/>
      <c r="AJ352" s="139">
        <v>100</v>
      </c>
      <c r="AK352" s="135" t="s">
        <v>271</v>
      </c>
      <c r="AL352" s="136">
        <v>50000</v>
      </c>
      <c r="AM352" s="138">
        <v>95</v>
      </c>
    </row>
    <row r="353" spans="1:39" s="27" customFormat="1" ht="49.5">
      <c r="A353" s="34" t="s">
        <v>876</v>
      </c>
      <c r="B353" s="34"/>
      <c r="C353" s="72" t="s">
        <v>1195</v>
      </c>
      <c r="D353" s="72"/>
      <c r="E353" s="120" t="s">
        <v>905</v>
      </c>
      <c r="F353" s="120"/>
      <c r="G353" s="132" t="s">
        <v>418</v>
      </c>
      <c r="H353" s="132" t="s">
        <v>520</v>
      </c>
      <c r="I353" s="132" t="s">
        <v>108</v>
      </c>
      <c r="J353" s="133" t="s">
        <v>419</v>
      </c>
      <c r="K353" s="134" t="s">
        <v>650</v>
      </c>
      <c r="L353" s="307">
        <f t="shared" si="47"/>
        <v>90000</v>
      </c>
      <c r="M353" s="308"/>
      <c r="N353" s="308">
        <v>90000</v>
      </c>
      <c r="O353" s="296"/>
      <c r="P353" s="296"/>
      <c r="Q353" s="296"/>
      <c r="R353" s="84"/>
      <c r="S353" s="70">
        <f t="shared" si="46"/>
        <v>0</v>
      </c>
      <c r="T353" s="70"/>
      <c r="U353" s="70">
        <v>90000</v>
      </c>
      <c r="V353" s="9" t="s">
        <v>521</v>
      </c>
      <c r="W353" s="19"/>
      <c r="X353" s="70">
        <v>90000</v>
      </c>
      <c r="Y353" s="67">
        <f t="shared" si="49"/>
        <v>0</v>
      </c>
      <c r="Z353" s="52"/>
      <c r="AA353" s="52"/>
      <c r="AB353" s="19"/>
      <c r="AC353" s="24">
        <f t="shared" si="48"/>
        <v>70000</v>
      </c>
      <c r="AD353" s="19"/>
      <c r="AE353" s="19"/>
      <c r="AF353" s="19"/>
      <c r="AG353" s="19"/>
      <c r="AH353" s="19"/>
      <c r="AI353" s="14"/>
      <c r="AJ353" s="139">
        <v>100</v>
      </c>
      <c r="AK353" s="135" t="s">
        <v>271</v>
      </c>
      <c r="AL353" s="136">
        <v>90000</v>
      </c>
      <c r="AM353" s="138">
        <v>95</v>
      </c>
    </row>
    <row r="354" spans="1:39" s="27" customFormat="1" ht="33">
      <c r="A354" s="34" t="s">
        <v>876</v>
      </c>
      <c r="B354" s="34"/>
      <c r="C354" s="72" t="s">
        <v>1195</v>
      </c>
      <c r="D354" s="72"/>
      <c r="E354" s="120" t="s">
        <v>905</v>
      </c>
      <c r="F354" s="120"/>
      <c r="G354" s="132" t="s">
        <v>418</v>
      </c>
      <c r="H354" s="132" t="s">
        <v>520</v>
      </c>
      <c r="I354" s="132" t="s">
        <v>108</v>
      </c>
      <c r="J354" s="133" t="s">
        <v>419</v>
      </c>
      <c r="K354" s="134" t="s">
        <v>651</v>
      </c>
      <c r="L354" s="307">
        <f t="shared" si="47"/>
        <v>160000</v>
      </c>
      <c r="M354" s="308"/>
      <c r="N354" s="308">
        <v>160000</v>
      </c>
      <c r="O354" s="296"/>
      <c r="P354" s="296"/>
      <c r="Q354" s="296"/>
      <c r="R354" s="84"/>
      <c r="S354" s="70">
        <f t="shared" si="46"/>
        <v>0</v>
      </c>
      <c r="T354" s="70"/>
      <c r="U354" s="70">
        <v>160000</v>
      </c>
      <c r="V354" s="9" t="s">
        <v>521</v>
      </c>
      <c r="W354" s="19"/>
      <c r="X354" s="70">
        <v>160000</v>
      </c>
      <c r="Y354" s="67">
        <f t="shared" si="49"/>
        <v>0</v>
      </c>
      <c r="Z354" s="52"/>
      <c r="AA354" s="52"/>
      <c r="AB354" s="19"/>
      <c r="AC354" s="24">
        <f t="shared" si="48"/>
        <v>-61489</v>
      </c>
      <c r="AD354" s="19"/>
      <c r="AE354" s="19"/>
      <c r="AF354" s="19"/>
      <c r="AG354" s="19"/>
      <c r="AH354" s="19"/>
      <c r="AI354" s="14"/>
      <c r="AJ354" s="139">
        <v>100</v>
      </c>
      <c r="AK354" s="135" t="s">
        <v>271</v>
      </c>
      <c r="AL354" s="136">
        <v>160000</v>
      </c>
      <c r="AM354" s="138">
        <v>90</v>
      </c>
    </row>
    <row r="355" spans="1:39" s="27" customFormat="1" ht="33">
      <c r="A355" s="34" t="s">
        <v>876</v>
      </c>
      <c r="B355" s="34"/>
      <c r="C355" s="72" t="s">
        <v>1195</v>
      </c>
      <c r="D355" s="72"/>
      <c r="E355" s="120" t="s">
        <v>902</v>
      </c>
      <c r="F355" s="120"/>
      <c r="G355" s="132" t="s">
        <v>418</v>
      </c>
      <c r="H355" s="132" t="s">
        <v>520</v>
      </c>
      <c r="I355" s="132" t="s">
        <v>108</v>
      </c>
      <c r="J355" s="133" t="s">
        <v>419</v>
      </c>
      <c r="K355" s="134" t="s">
        <v>652</v>
      </c>
      <c r="L355" s="307">
        <f t="shared" si="47"/>
        <v>98511</v>
      </c>
      <c r="M355" s="308"/>
      <c r="N355" s="308">
        <v>98511</v>
      </c>
      <c r="O355" s="296"/>
      <c r="P355" s="296"/>
      <c r="Q355" s="296"/>
      <c r="R355" s="84"/>
      <c r="S355" s="70">
        <f t="shared" si="46"/>
        <v>0</v>
      </c>
      <c r="T355" s="70"/>
      <c r="U355" s="70">
        <v>98511</v>
      </c>
      <c r="V355" s="9" t="s">
        <v>521</v>
      </c>
      <c r="W355" s="19"/>
      <c r="X355" s="70">
        <v>98511</v>
      </c>
      <c r="Y355" s="67">
        <f t="shared" si="49"/>
        <v>0</v>
      </c>
      <c r="Z355" s="52"/>
      <c r="AA355" s="52"/>
      <c r="AB355" s="19"/>
      <c r="AC355" s="24">
        <f t="shared" si="48"/>
        <v>-43555</v>
      </c>
      <c r="AD355" s="19"/>
      <c r="AE355" s="19"/>
      <c r="AF355" s="19"/>
      <c r="AG355" s="19"/>
      <c r="AH355" s="19"/>
      <c r="AI355" s="14"/>
      <c r="AJ355" s="139">
        <v>100</v>
      </c>
      <c r="AK355" s="135" t="s">
        <v>271</v>
      </c>
      <c r="AL355" s="136">
        <v>98511</v>
      </c>
      <c r="AM355" s="138">
        <v>95</v>
      </c>
    </row>
    <row r="356" spans="1:39" s="27" customFormat="1" ht="49.5">
      <c r="A356" s="34" t="s">
        <v>876</v>
      </c>
      <c r="B356" s="34"/>
      <c r="C356" s="72" t="s">
        <v>1195</v>
      </c>
      <c r="D356" s="72"/>
      <c r="E356" s="120" t="s">
        <v>902</v>
      </c>
      <c r="F356" s="120"/>
      <c r="G356" s="132" t="s">
        <v>418</v>
      </c>
      <c r="H356" s="132" t="s">
        <v>520</v>
      </c>
      <c r="I356" s="132" t="s">
        <v>108</v>
      </c>
      <c r="J356" s="133" t="s">
        <v>419</v>
      </c>
      <c r="K356" s="134" t="s">
        <v>653</v>
      </c>
      <c r="L356" s="307">
        <f t="shared" si="47"/>
        <v>54956</v>
      </c>
      <c r="M356" s="308"/>
      <c r="N356" s="308">
        <v>54956</v>
      </c>
      <c r="O356" s="296"/>
      <c r="P356" s="296"/>
      <c r="Q356" s="296"/>
      <c r="R356" s="84"/>
      <c r="S356" s="70">
        <f t="shared" si="46"/>
        <v>0</v>
      </c>
      <c r="T356" s="70"/>
      <c r="U356" s="70">
        <v>54956</v>
      </c>
      <c r="V356" s="9" t="s">
        <v>521</v>
      </c>
      <c r="W356" s="19"/>
      <c r="X356" s="70">
        <v>54956</v>
      </c>
      <c r="Y356" s="67">
        <f t="shared" si="49"/>
        <v>0</v>
      </c>
      <c r="Z356" s="52"/>
      <c r="AA356" s="52"/>
      <c r="AB356" s="19"/>
      <c r="AC356" s="24">
        <f t="shared" si="48"/>
        <v>-52834</v>
      </c>
      <c r="AD356" s="19"/>
      <c r="AE356" s="19"/>
      <c r="AF356" s="19"/>
      <c r="AG356" s="19"/>
      <c r="AH356" s="19"/>
      <c r="AI356" s="14"/>
      <c r="AJ356" s="139">
        <v>100</v>
      </c>
      <c r="AK356" s="135" t="s">
        <v>271</v>
      </c>
      <c r="AL356" s="136">
        <v>320000</v>
      </c>
      <c r="AM356" s="138">
        <v>90</v>
      </c>
    </row>
    <row r="357" spans="1:39" s="27" customFormat="1" ht="33">
      <c r="A357" s="34" t="s">
        <v>876</v>
      </c>
      <c r="B357" s="34"/>
      <c r="C357" s="72" t="s">
        <v>1195</v>
      </c>
      <c r="D357" s="72"/>
      <c r="E357" s="120" t="s">
        <v>905</v>
      </c>
      <c r="F357" s="120"/>
      <c r="G357" s="132" t="s">
        <v>418</v>
      </c>
      <c r="H357" s="132" t="s">
        <v>520</v>
      </c>
      <c r="I357" s="132" t="s">
        <v>108</v>
      </c>
      <c r="J357" s="133" t="s">
        <v>419</v>
      </c>
      <c r="K357" s="134" t="s">
        <v>1093</v>
      </c>
      <c r="L357" s="307">
        <f t="shared" si="47"/>
        <v>2122</v>
      </c>
      <c r="M357" s="308"/>
      <c r="N357" s="308">
        <v>2122</v>
      </c>
      <c r="O357" s="296"/>
      <c r="P357" s="296"/>
      <c r="Q357" s="296"/>
      <c r="R357" s="84"/>
      <c r="S357" s="70">
        <f t="shared" si="46"/>
        <v>0</v>
      </c>
      <c r="T357" s="70"/>
      <c r="U357" s="70">
        <v>2122</v>
      </c>
      <c r="V357" s="9" t="s">
        <v>521</v>
      </c>
      <c r="W357" s="19"/>
      <c r="X357" s="70">
        <v>2122</v>
      </c>
      <c r="Y357" s="67">
        <f t="shared" si="49"/>
        <v>0</v>
      </c>
      <c r="Z357" s="52"/>
      <c r="AA357" s="52"/>
      <c r="AB357" s="19"/>
      <c r="AC357" s="24">
        <f t="shared" si="48"/>
        <v>9986.32</v>
      </c>
      <c r="AD357" s="19"/>
      <c r="AE357" s="19"/>
      <c r="AF357" s="19"/>
      <c r="AG357" s="19"/>
      <c r="AH357" s="19"/>
      <c r="AI357" s="14"/>
      <c r="AJ357" s="139">
        <v>100</v>
      </c>
      <c r="AK357" s="135" t="s">
        <v>271</v>
      </c>
      <c r="AL357" s="136">
        <v>120000</v>
      </c>
      <c r="AM357" s="138">
        <v>100</v>
      </c>
    </row>
    <row r="358" spans="1:39" s="27" customFormat="1" ht="33">
      <c r="A358" s="34" t="s">
        <v>876</v>
      </c>
      <c r="B358" s="34"/>
      <c r="C358" s="72" t="s">
        <v>1195</v>
      </c>
      <c r="D358" s="72"/>
      <c r="E358" s="120" t="s">
        <v>902</v>
      </c>
      <c r="F358" s="120"/>
      <c r="G358" s="132" t="s">
        <v>418</v>
      </c>
      <c r="H358" s="132" t="s">
        <v>520</v>
      </c>
      <c r="I358" s="132" t="s">
        <v>108</v>
      </c>
      <c r="J358" s="133" t="s">
        <v>419</v>
      </c>
      <c r="K358" s="134" t="s">
        <v>840</v>
      </c>
      <c r="L358" s="307">
        <f t="shared" si="47"/>
        <v>12108.32</v>
      </c>
      <c r="M358" s="308"/>
      <c r="N358" s="308">
        <v>12108.32</v>
      </c>
      <c r="O358" s="296"/>
      <c r="P358" s="296"/>
      <c r="Q358" s="296"/>
      <c r="R358" s="84"/>
      <c r="S358" s="70">
        <f t="shared" si="46"/>
        <v>0</v>
      </c>
      <c r="T358" s="70"/>
      <c r="U358" s="70">
        <v>12108.32</v>
      </c>
      <c r="V358" s="9" t="s">
        <v>521</v>
      </c>
      <c r="W358" s="19"/>
      <c r="X358" s="70">
        <v>12108.32</v>
      </c>
      <c r="Y358" s="67">
        <f t="shared" si="49"/>
        <v>0</v>
      </c>
      <c r="Z358" s="52"/>
      <c r="AA358" s="52"/>
      <c r="AB358" s="19"/>
      <c r="AC358" s="24">
        <f t="shared" ref="AC358:AC389" si="50">X359+Y359+AB358-N358</f>
        <v>-8920.2099999999991</v>
      </c>
      <c r="AD358" s="19"/>
      <c r="AE358" s="19"/>
      <c r="AF358" s="19"/>
      <c r="AG358" s="19"/>
      <c r="AH358" s="19"/>
      <c r="AI358" s="14"/>
      <c r="AJ358" s="139">
        <v>100</v>
      </c>
      <c r="AK358" s="135" t="s">
        <v>271</v>
      </c>
      <c r="AL358" s="136">
        <v>131000</v>
      </c>
      <c r="AM358" s="138">
        <v>100</v>
      </c>
    </row>
    <row r="359" spans="1:39" s="27" customFormat="1" ht="33">
      <c r="A359" s="34" t="s">
        <v>876</v>
      </c>
      <c r="B359" s="34"/>
      <c r="C359" s="72" t="s">
        <v>1195</v>
      </c>
      <c r="D359" s="72"/>
      <c r="E359" s="120" t="s">
        <v>902</v>
      </c>
      <c r="F359" s="120"/>
      <c r="G359" s="132" t="s">
        <v>418</v>
      </c>
      <c r="H359" s="132" t="s">
        <v>520</v>
      </c>
      <c r="I359" s="132" t="s">
        <v>108</v>
      </c>
      <c r="J359" s="133" t="s">
        <v>419</v>
      </c>
      <c r="K359" s="134" t="s">
        <v>654</v>
      </c>
      <c r="L359" s="307">
        <f t="shared" si="47"/>
        <v>3188.11</v>
      </c>
      <c r="M359" s="308"/>
      <c r="N359" s="308">
        <v>3188.11</v>
      </c>
      <c r="O359" s="296"/>
      <c r="P359" s="296"/>
      <c r="Q359" s="296"/>
      <c r="R359" s="84"/>
      <c r="S359" s="70">
        <f t="shared" si="46"/>
        <v>0</v>
      </c>
      <c r="T359" s="70"/>
      <c r="U359" s="70">
        <v>3188.11</v>
      </c>
      <c r="V359" s="9" t="s">
        <v>521</v>
      </c>
      <c r="W359" s="19"/>
      <c r="X359" s="70">
        <v>3188.11</v>
      </c>
      <c r="Y359" s="67">
        <f t="shared" si="49"/>
        <v>0</v>
      </c>
      <c r="Z359" s="52"/>
      <c r="AA359" s="52"/>
      <c r="AB359" s="19"/>
      <c r="AC359" s="24">
        <f t="shared" si="50"/>
        <v>216811.89</v>
      </c>
      <c r="AD359" s="19"/>
      <c r="AE359" s="19"/>
      <c r="AF359" s="19"/>
      <c r="AG359" s="19"/>
      <c r="AH359" s="19"/>
      <c r="AI359" s="14"/>
      <c r="AJ359" s="139">
        <v>100</v>
      </c>
      <c r="AK359" s="135" t="s">
        <v>271</v>
      </c>
      <c r="AL359" s="136">
        <v>300000</v>
      </c>
      <c r="AM359" s="138">
        <v>100</v>
      </c>
    </row>
    <row r="360" spans="1:39" s="27" customFormat="1" ht="33">
      <c r="A360" s="34" t="s">
        <v>876</v>
      </c>
      <c r="B360" s="34"/>
      <c r="C360" s="72" t="s">
        <v>1195</v>
      </c>
      <c r="D360" s="72"/>
      <c r="E360" s="120" t="s">
        <v>905</v>
      </c>
      <c r="F360" s="120"/>
      <c r="G360" s="132" t="s">
        <v>418</v>
      </c>
      <c r="H360" s="132" t="s">
        <v>520</v>
      </c>
      <c r="I360" s="132" t="s">
        <v>108</v>
      </c>
      <c r="J360" s="133" t="s">
        <v>419</v>
      </c>
      <c r="K360" s="134" t="s">
        <v>655</v>
      </c>
      <c r="L360" s="307">
        <f t="shared" si="47"/>
        <v>220000</v>
      </c>
      <c r="M360" s="308"/>
      <c r="N360" s="308">
        <v>220000</v>
      </c>
      <c r="O360" s="296"/>
      <c r="P360" s="296"/>
      <c r="Q360" s="296"/>
      <c r="R360" s="84"/>
      <c r="S360" s="70">
        <f t="shared" ref="S360:S371" si="51">N360-U360</f>
        <v>0</v>
      </c>
      <c r="T360" s="70"/>
      <c r="U360" s="70">
        <v>220000</v>
      </c>
      <c r="V360" s="9" t="s">
        <v>521</v>
      </c>
      <c r="W360" s="19"/>
      <c r="X360" s="70">
        <v>220000</v>
      </c>
      <c r="Y360" s="67">
        <f t="shared" si="49"/>
        <v>0</v>
      </c>
      <c r="Z360" s="52"/>
      <c r="AA360" s="52"/>
      <c r="AB360" s="19"/>
      <c r="AC360" s="24">
        <f t="shared" si="50"/>
        <v>-205000</v>
      </c>
      <c r="AD360" s="19"/>
      <c r="AE360" s="19"/>
      <c r="AF360" s="19"/>
      <c r="AG360" s="19"/>
      <c r="AH360" s="19"/>
      <c r="AI360" s="14"/>
      <c r="AJ360" s="139">
        <v>100</v>
      </c>
      <c r="AK360" s="135" t="s">
        <v>271</v>
      </c>
      <c r="AL360" s="136">
        <v>300000</v>
      </c>
      <c r="AM360" s="138">
        <v>95</v>
      </c>
    </row>
    <row r="361" spans="1:39" s="27" customFormat="1" ht="33">
      <c r="A361" s="34" t="s">
        <v>876</v>
      </c>
      <c r="B361" s="34"/>
      <c r="C361" s="72" t="s">
        <v>1195</v>
      </c>
      <c r="D361" s="72"/>
      <c r="E361" s="120" t="s">
        <v>902</v>
      </c>
      <c r="F361" s="120"/>
      <c r="G361" s="132" t="s">
        <v>418</v>
      </c>
      <c r="H361" s="132" t="s">
        <v>520</v>
      </c>
      <c r="I361" s="132" t="s">
        <v>108</v>
      </c>
      <c r="J361" s="133" t="s">
        <v>419</v>
      </c>
      <c r="K361" s="134" t="s">
        <v>656</v>
      </c>
      <c r="L361" s="307">
        <f t="shared" si="47"/>
        <v>15000</v>
      </c>
      <c r="M361" s="308"/>
      <c r="N361" s="308">
        <v>15000</v>
      </c>
      <c r="O361" s="296"/>
      <c r="P361" s="296"/>
      <c r="Q361" s="296"/>
      <c r="R361" s="84"/>
      <c r="S361" s="70">
        <f t="shared" si="51"/>
        <v>0</v>
      </c>
      <c r="T361" s="70"/>
      <c r="U361" s="70">
        <v>15000</v>
      </c>
      <c r="V361" s="9" t="s">
        <v>521</v>
      </c>
      <c r="W361" s="19"/>
      <c r="X361" s="70">
        <v>15000</v>
      </c>
      <c r="Y361" s="67">
        <f t="shared" si="49"/>
        <v>0</v>
      </c>
      <c r="Z361" s="52"/>
      <c r="AA361" s="52"/>
      <c r="AB361" s="19"/>
      <c r="AC361" s="24">
        <f t="shared" si="50"/>
        <v>10000</v>
      </c>
      <c r="AD361" s="19"/>
      <c r="AE361" s="19"/>
      <c r="AF361" s="19"/>
      <c r="AG361" s="19"/>
      <c r="AH361" s="19"/>
      <c r="AI361" s="14"/>
      <c r="AJ361" s="139">
        <v>100</v>
      </c>
      <c r="AK361" s="135" t="s">
        <v>271</v>
      </c>
      <c r="AL361" s="136">
        <v>300000</v>
      </c>
      <c r="AM361" s="138">
        <v>99</v>
      </c>
    </row>
    <row r="362" spans="1:39" s="27" customFormat="1" ht="33">
      <c r="A362" s="34" t="s">
        <v>876</v>
      </c>
      <c r="B362" s="34"/>
      <c r="C362" s="72" t="s">
        <v>1195</v>
      </c>
      <c r="D362" s="72"/>
      <c r="E362" s="120" t="s">
        <v>905</v>
      </c>
      <c r="F362" s="120"/>
      <c r="G362" s="132" t="s">
        <v>418</v>
      </c>
      <c r="H362" s="132" t="s">
        <v>520</v>
      </c>
      <c r="I362" s="132" t="s">
        <v>108</v>
      </c>
      <c r="J362" s="133" t="s">
        <v>419</v>
      </c>
      <c r="K362" s="134" t="s">
        <v>657</v>
      </c>
      <c r="L362" s="307">
        <f t="shared" si="47"/>
        <v>25000</v>
      </c>
      <c r="M362" s="308"/>
      <c r="N362" s="308">
        <v>25000</v>
      </c>
      <c r="O362" s="296"/>
      <c r="P362" s="296"/>
      <c r="Q362" s="296"/>
      <c r="R362" s="84"/>
      <c r="S362" s="70">
        <f t="shared" si="51"/>
        <v>0</v>
      </c>
      <c r="T362" s="70"/>
      <c r="U362" s="70">
        <v>25000</v>
      </c>
      <c r="V362" s="9" t="s">
        <v>521</v>
      </c>
      <c r="W362" s="19"/>
      <c r="X362" s="70">
        <v>25000</v>
      </c>
      <c r="Y362" s="67">
        <f t="shared" si="49"/>
        <v>0</v>
      </c>
      <c r="Z362" s="52"/>
      <c r="AA362" s="52"/>
      <c r="AB362" s="19"/>
      <c r="AC362" s="24">
        <f t="shared" si="50"/>
        <v>75000</v>
      </c>
      <c r="AD362" s="19"/>
      <c r="AE362" s="19"/>
      <c r="AF362" s="19"/>
      <c r="AG362" s="19"/>
      <c r="AH362" s="19"/>
      <c r="AI362" s="14"/>
      <c r="AJ362" s="139">
        <v>100</v>
      </c>
      <c r="AK362" s="135" t="s">
        <v>271</v>
      </c>
      <c r="AL362" s="136">
        <v>300000</v>
      </c>
      <c r="AM362" s="138">
        <v>99</v>
      </c>
    </row>
    <row r="363" spans="1:39" s="27" customFormat="1" ht="33">
      <c r="A363" s="34" t="s">
        <v>876</v>
      </c>
      <c r="B363" s="34"/>
      <c r="C363" s="72" t="s">
        <v>1195</v>
      </c>
      <c r="D363" s="72"/>
      <c r="E363" s="120" t="s">
        <v>905</v>
      </c>
      <c r="F363" s="120"/>
      <c r="G363" s="132" t="s">
        <v>418</v>
      </c>
      <c r="H363" s="132" t="s">
        <v>520</v>
      </c>
      <c r="I363" s="132" t="s">
        <v>108</v>
      </c>
      <c r="J363" s="133" t="s">
        <v>419</v>
      </c>
      <c r="K363" s="134" t="s">
        <v>658</v>
      </c>
      <c r="L363" s="307">
        <f t="shared" si="47"/>
        <v>100000</v>
      </c>
      <c r="M363" s="308"/>
      <c r="N363" s="308">
        <v>100000</v>
      </c>
      <c r="O363" s="296"/>
      <c r="P363" s="296"/>
      <c r="Q363" s="296"/>
      <c r="R363" s="84"/>
      <c r="S363" s="70">
        <f t="shared" si="51"/>
        <v>0</v>
      </c>
      <c r="T363" s="70"/>
      <c r="U363" s="70">
        <v>100000</v>
      </c>
      <c r="V363" s="9" t="s">
        <v>521</v>
      </c>
      <c r="W363" s="19"/>
      <c r="X363" s="70">
        <v>100000</v>
      </c>
      <c r="Y363" s="67">
        <f t="shared" si="49"/>
        <v>0</v>
      </c>
      <c r="Z363" s="52"/>
      <c r="AA363" s="52"/>
      <c r="AB363" s="19"/>
      <c r="AC363" s="24">
        <f t="shared" si="50"/>
        <v>-90000</v>
      </c>
      <c r="AD363" s="19"/>
      <c r="AE363" s="19"/>
      <c r="AF363" s="19"/>
      <c r="AG363" s="19"/>
      <c r="AH363" s="19"/>
      <c r="AI363" s="14"/>
      <c r="AJ363" s="139">
        <v>100</v>
      </c>
      <c r="AK363" s="135" t="s">
        <v>271</v>
      </c>
      <c r="AL363" s="136">
        <v>300000</v>
      </c>
      <c r="AM363" s="138">
        <v>95</v>
      </c>
    </row>
    <row r="364" spans="1:39" s="27" customFormat="1" ht="33">
      <c r="A364" s="34" t="s">
        <v>876</v>
      </c>
      <c r="B364" s="34"/>
      <c r="C364" s="72" t="s">
        <v>1195</v>
      </c>
      <c r="D364" s="72"/>
      <c r="E364" s="120" t="s">
        <v>905</v>
      </c>
      <c r="F364" s="120"/>
      <c r="G364" s="132" t="s">
        <v>418</v>
      </c>
      <c r="H364" s="132" t="s">
        <v>520</v>
      </c>
      <c r="I364" s="132" t="s">
        <v>108</v>
      </c>
      <c r="J364" s="133" t="s">
        <v>419</v>
      </c>
      <c r="K364" s="134" t="s">
        <v>659</v>
      </c>
      <c r="L364" s="307">
        <f t="shared" si="47"/>
        <v>10000</v>
      </c>
      <c r="M364" s="308"/>
      <c r="N364" s="308">
        <v>10000</v>
      </c>
      <c r="O364" s="296"/>
      <c r="P364" s="296"/>
      <c r="Q364" s="296"/>
      <c r="R364" s="84"/>
      <c r="S364" s="70">
        <f t="shared" si="51"/>
        <v>0</v>
      </c>
      <c r="T364" s="70"/>
      <c r="U364" s="70">
        <v>10000</v>
      </c>
      <c r="V364" s="9" t="s">
        <v>521</v>
      </c>
      <c r="W364" s="19"/>
      <c r="X364" s="70">
        <v>10000</v>
      </c>
      <c r="Y364" s="67">
        <f t="shared" si="49"/>
        <v>0</v>
      </c>
      <c r="Z364" s="52"/>
      <c r="AA364" s="52"/>
      <c r="AB364" s="19"/>
      <c r="AC364" s="24">
        <f t="shared" si="50"/>
        <v>372.73999999999978</v>
      </c>
      <c r="AD364" s="19"/>
      <c r="AE364" s="19"/>
      <c r="AF364" s="19"/>
      <c r="AG364" s="19"/>
      <c r="AH364" s="19"/>
      <c r="AI364" s="14"/>
      <c r="AJ364" s="139">
        <v>100</v>
      </c>
      <c r="AK364" s="135" t="s">
        <v>271</v>
      </c>
      <c r="AL364" s="136">
        <v>300000</v>
      </c>
      <c r="AM364" s="138">
        <v>100</v>
      </c>
    </row>
    <row r="365" spans="1:39" s="27" customFormat="1" ht="33">
      <c r="A365" s="34" t="s">
        <v>876</v>
      </c>
      <c r="B365" s="34"/>
      <c r="C365" s="72" t="s">
        <v>1195</v>
      </c>
      <c r="D365" s="72"/>
      <c r="E365" s="120" t="s">
        <v>902</v>
      </c>
      <c r="F365" s="120"/>
      <c r="G365" s="132" t="s">
        <v>418</v>
      </c>
      <c r="H365" s="132" t="s">
        <v>520</v>
      </c>
      <c r="I365" s="132" t="s">
        <v>108</v>
      </c>
      <c r="J365" s="133" t="s">
        <v>419</v>
      </c>
      <c r="K365" s="134" t="s">
        <v>660</v>
      </c>
      <c r="L365" s="307">
        <f t="shared" si="47"/>
        <v>10372.74</v>
      </c>
      <c r="M365" s="308"/>
      <c r="N365" s="308">
        <v>10372.74</v>
      </c>
      <c r="O365" s="296"/>
      <c r="P365" s="296"/>
      <c r="Q365" s="296"/>
      <c r="R365" s="84"/>
      <c r="S365" s="70">
        <f t="shared" si="51"/>
        <v>0</v>
      </c>
      <c r="T365" s="70"/>
      <c r="U365" s="70">
        <v>10372.74</v>
      </c>
      <c r="V365" s="9" t="s">
        <v>521</v>
      </c>
      <c r="W365" s="19"/>
      <c r="X365" s="70">
        <v>10372.74</v>
      </c>
      <c r="Y365" s="67">
        <f t="shared" si="49"/>
        <v>0</v>
      </c>
      <c r="Z365" s="52"/>
      <c r="AA365" s="52"/>
      <c r="AB365" s="19"/>
      <c r="AC365" s="24">
        <f t="shared" si="50"/>
        <v>139627.26</v>
      </c>
      <c r="AD365" s="19"/>
      <c r="AE365" s="19"/>
      <c r="AF365" s="19"/>
      <c r="AG365" s="19"/>
      <c r="AH365" s="19"/>
      <c r="AI365" s="14"/>
      <c r="AJ365" s="139">
        <v>100</v>
      </c>
      <c r="AK365" s="135" t="s">
        <v>271</v>
      </c>
      <c r="AL365" s="136">
        <v>300000</v>
      </c>
      <c r="AM365" s="138">
        <v>100</v>
      </c>
    </row>
    <row r="366" spans="1:39" s="27" customFormat="1" ht="33">
      <c r="A366" s="34" t="s">
        <v>876</v>
      </c>
      <c r="B366" s="34"/>
      <c r="C366" s="72" t="s">
        <v>1195</v>
      </c>
      <c r="D366" s="72"/>
      <c r="E366" s="120" t="s">
        <v>905</v>
      </c>
      <c r="F366" s="120"/>
      <c r="G366" s="132" t="s">
        <v>418</v>
      </c>
      <c r="H366" s="132" t="s">
        <v>520</v>
      </c>
      <c r="I366" s="132" t="s">
        <v>108</v>
      </c>
      <c r="J366" s="133" t="s">
        <v>419</v>
      </c>
      <c r="K366" s="134" t="s">
        <v>661</v>
      </c>
      <c r="L366" s="307">
        <f t="shared" si="47"/>
        <v>150000</v>
      </c>
      <c r="M366" s="308"/>
      <c r="N366" s="308">
        <v>150000</v>
      </c>
      <c r="O366" s="296"/>
      <c r="P366" s="296"/>
      <c r="Q366" s="296"/>
      <c r="R366" s="84"/>
      <c r="S366" s="70">
        <f t="shared" si="51"/>
        <v>0</v>
      </c>
      <c r="T366" s="70"/>
      <c r="U366" s="70">
        <v>150000</v>
      </c>
      <c r="V366" s="9" t="s">
        <v>521</v>
      </c>
      <c r="W366" s="19"/>
      <c r="X366" s="70">
        <v>150000</v>
      </c>
      <c r="Y366" s="67">
        <f t="shared" si="49"/>
        <v>0</v>
      </c>
      <c r="Z366" s="52"/>
      <c r="AA366" s="52"/>
      <c r="AB366" s="19"/>
      <c r="AC366" s="24">
        <f t="shared" si="50"/>
        <v>-140647.51</v>
      </c>
      <c r="AD366" s="19"/>
      <c r="AE366" s="19"/>
      <c r="AF366" s="19"/>
      <c r="AG366" s="19"/>
      <c r="AH366" s="19"/>
      <c r="AI366" s="14"/>
      <c r="AJ366" s="139">
        <v>100</v>
      </c>
      <c r="AK366" s="135" t="s">
        <v>271</v>
      </c>
      <c r="AL366" s="136">
        <v>300000</v>
      </c>
      <c r="AM366" s="138">
        <v>90</v>
      </c>
    </row>
    <row r="367" spans="1:39" s="27" customFormat="1" ht="33">
      <c r="A367" s="34" t="s">
        <v>876</v>
      </c>
      <c r="B367" s="34"/>
      <c r="C367" s="72" t="s">
        <v>1195</v>
      </c>
      <c r="D367" s="72"/>
      <c r="E367" s="120" t="s">
        <v>905</v>
      </c>
      <c r="F367" s="120"/>
      <c r="G367" s="132" t="s">
        <v>418</v>
      </c>
      <c r="H367" s="132" t="s">
        <v>520</v>
      </c>
      <c r="I367" s="132" t="s">
        <v>108</v>
      </c>
      <c r="J367" s="133" t="s">
        <v>419</v>
      </c>
      <c r="K367" s="134" t="s">
        <v>662</v>
      </c>
      <c r="L367" s="307">
        <f t="shared" si="47"/>
        <v>9352.49</v>
      </c>
      <c r="M367" s="308"/>
      <c r="N367" s="308">
        <v>9352.49</v>
      </c>
      <c r="O367" s="296"/>
      <c r="P367" s="296"/>
      <c r="Q367" s="296"/>
      <c r="R367" s="84"/>
      <c r="S367" s="70">
        <f t="shared" si="51"/>
        <v>0</v>
      </c>
      <c r="T367" s="70"/>
      <c r="U367" s="70">
        <v>9352.49</v>
      </c>
      <c r="V367" s="9" t="s">
        <v>521</v>
      </c>
      <c r="W367" s="19"/>
      <c r="X367" s="70">
        <v>9352.49</v>
      </c>
      <c r="Y367" s="67">
        <f t="shared" si="49"/>
        <v>0</v>
      </c>
      <c r="Z367" s="52"/>
      <c r="AA367" s="52"/>
      <c r="AB367" s="19"/>
      <c r="AC367" s="24">
        <f t="shared" si="50"/>
        <v>9885.51</v>
      </c>
      <c r="AD367" s="19"/>
      <c r="AE367" s="19"/>
      <c r="AF367" s="19"/>
      <c r="AG367" s="19"/>
      <c r="AH367" s="19"/>
      <c r="AI367" s="14"/>
      <c r="AJ367" s="139">
        <v>100</v>
      </c>
      <c r="AK367" s="135" t="s">
        <v>271</v>
      </c>
      <c r="AL367" s="136">
        <v>300000</v>
      </c>
      <c r="AM367" s="138">
        <v>100</v>
      </c>
    </row>
    <row r="368" spans="1:39" s="27" customFormat="1" ht="49.5">
      <c r="A368" s="34" t="s">
        <v>876</v>
      </c>
      <c r="B368" s="34"/>
      <c r="C368" s="72" t="s">
        <v>1195</v>
      </c>
      <c r="D368" s="72"/>
      <c r="E368" s="120" t="s">
        <v>902</v>
      </c>
      <c r="F368" s="120"/>
      <c r="G368" s="132" t="s">
        <v>418</v>
      </c>
      <c r="H368" s="132" t="s">
        <v>520</v>
      </c>
      <c r="I368" s="132" t="s">
        <v>108</v>
      </c>
      <c r="J368" s="133" t="s">
        <v>419</v>
      </c>
      <c r="K368" s="134" t="s">
        <v>663</v>
      </c>
      <c r="L368" s="307">
        <f t="shared" si="47"/>
        <v>19238</v>
      </c>
      <c r="M368" s="308"/>
      <c r="N368" s="308">
        <v>19238</v>
      </c>
      <c r="O368" s="296"/>
      <c r="P368" s="296"/>
      <c r="Q368" s="296"/>
      <c r="R368" s="84"/>
      <c r="S368" s="70">
        <f t="shared" si="51"/>
        <v>0</v>
      </c>
      <c r="T368" s="70"/>
      <c r="U368" s="70">
        <v>19238</v>
      </c>
      <c r="V368" s="9" t="s">
        <v>521</v>
      </c>
      <c r="W368" s="19"/>
      <c r="X368" s="70">
        <v>19238</v>
      </c>
      <c r="Y368" s="67">
        <f t="shared" si="49"/>
        <v>0</v>
      </c>
      <c r="Z368" s="52"/>
      <c r="AA368" s="52"/>
      <c r="AB368" s="19"/>
      <c r="AC368" s="24">
        <f t="shared" si="50"/>
        <v>-2086.3499999999985</v>
      </c>
      <c r="AD368" s="19"/>
      <c r="AE368" s="19"/>
      <c r="AF368" s="19"/>
      <c r="AG368" s="19"/>
      <c r="AH368" s="19"/>
      <c r="AI368" s="14"/>
      <c r="AJ368" s="139">
        <v>100</v>
      </c>
      <c r="AK368" s="135" t="s">
        <v>271</v>
      </c>
      <c r="AL368" s="136">
        <v>300000</v>
      </c>
      <c r="AM368" s="138">
        <v>95</v>
      </c>
    </row>
    <row r="369" spans="1:40" s="27" customFormat="1" ht="49.5">
      <c r="A369" s="34" t="s">
        <v>876</v>
      </c>
      <c r="B369" s="34"/>
      <c r="C369" s="72" t="s">
        <v>1195</v>
      </c>
      <c r="D369" s="72"/>
      <c r="E369" s="120" t="s">
        <v>905</v>
      </c>
      <c r="F369" s="120"/>
      <c r="G369" s="132" t="s">
        <v>418</v>
      </c>
      <c r="H369" s="132" t="s">
        <v>520</v>
      </c>
      <c r="I369" s="132" t="s">
        <v>108</v>
      </c>
      <c r="J369" s="133" t="s">
        <v>419</v>
      </c>
      <c r="K369" s="134" t="s">
        <v>1135</v>
      </c>
      <c r="L369" s="307">
        <f t="shared" si="47"/>
        <v>17151.650000000001</v>
      </c>
      <c r="M369" s="308"/>
      <c r="N369" s="308">
        <v>17151.650000000001</v>
      </c>
      <c r="O369" s="296"/>
      <c r="P369" s="296"/>
      <c r="Q369" s="296"/>
      <c r="R369" s="84"/>
      <c r="S369" s="70">
        <f t="shared" si="51"/>
        <v>0</v>
      </c>
      <c r="T369" s="70"/>
      <c r="U369" s="70">
        <v>17151.650000000001</v>
      </c>
      <c r="V369" s="9" t="s">
        <v>521</v>
      </c>
      <c r="W369" s="19"/>
      <c r="X369" s="70">
        <v>17151.650000000001</v>
      </c>
      <c r="Y369" s="67">
        <f t="shared" si="49"/>
        <v>0</v>
      </c>
      <c r="Z369" s="52"/>
      <c r="AA369" s="52"/>
      <c r="AB369" s="19"/>
      <c r="AC369" s="24">
        <f t="shared" si="50"/>
        <v>930.98999999999796</v>
      </c>
      <c r="AD369" s="19"/>
      <c r="AE369" s="19"/>
      <c r="AF369" s="19"/>
      <c r="AG369" s="19"/>
      <c r="AH369" s="19"/>
      <c r="AI369" s="14"/>
      <c r="AJ369" s="139">
        <v>100</v>
      </c>
      <c r="AK369" s="135" t="s">
        <v>1057</v>
      </c>
      <c r="AL369" s="136">
        <v>300000</v>
      </c>
      <c r="AM369" s="138">
        <v>95</v>
      </c>
    </row>
    <row r="370" spans="1:40" s="27" customFormat="1" ht="33">
      <c r="A370" s="34" t="s">
        <v>876</v>
      </c>
      <c r="B370" s="34"/>
      <c r="C370" s="72" t="s">
        <v>1195</v>
      </c>
      <c r="D370" s="72"/>
      <c r="E370" s="120" t="s">
        <v>902</v>
      </c>
      <c r="F370" s="120"/>
      <c r="G370" s="132" t="s">
        <v>418</v>
      </c>
      <c r="H370" s="132" t="s">
        <v>520</v>
      </c>
      <c r="I370" s="132" t="s">
        <v>108</v>
      </c>
      <c r="J370" s="133" t="s">
        <v>419</v>
      </c>
      <c r="K370" s="134" t="s">
        <v>664</v>
      </c>
      <c r="L370" s="307">
        <f t="shared" si="47"/>
        <v>18082.64</v>
      </c>
      <c r="M370" s="308"/>
      <c r="N370" s="308">
        <v>18082.64</v>
      </c>
      <c r="O370" s="296"/>
      <c r="P370" s="296"/>
      <c r="Q370" s="296"/>
      <c r="R370" s="84"/>
      <c r="S370" s="70">
        <f t="shared" si="51"/>
        <v>0</v>
      </c>
      <c r="T370" s="70"/>
      <c r="U370" s="70">
        <v>18082.64</v>
      </c>
      <c r="V370" s="9" t="s">
        <v>521</v>
      </c>
      <c r="W370" s="19"/>
      <c r="X370" s="70">
        <v>18082.64</v>
      </c>
      <c r="Y370" s="67">
        <f t="shared" si="49"/>
        <v>0</v>
      </c>
      <c r="Z370" s="52"/>
      <c r="AA370" s="52"/>
      <c r="AB370" s="19"/>
      <c r="AC370" s="24" t="e">
        <f>#REF!+#REF!+AB370-N370</f>
        <v>#REF!</v>
      </c>
      <c r="AD370" s="19"/>
      <c r="AE370" s="19"/>
      <c r="AF370" s="19"/>
      <c r="AG370" s="19"/>
      <c r="AH370" s="19"/>
      <c r="AI370" s="14"/>
      <c r="AJ370" s="139">
        <v>100</v>
      </c>
      <c r="AK370" s="135" t="s">
        <v>271</v>
      </c>
      <c r="AL370" s="136">
        <v>300000</v>
      </c>
      <c r="AM370" s="138">
        <v>95</v>
      </c>
    </row>
    <row r="371" spans="1:40" s="27" customFormat="1" ht="33">
      <c r="A371" s="34" t="s">
        <v>876</v>
      </c>
      <c r="B371" s="34"/>
      <c r="C371" s="72" t="s">
        <v>1195</v>
      </c>
      <c r="D371" s="72"/>
      <c r="E371" s="120" t="s">
        <v>902</v>
      </c>
      <c r="F371" s="120"/>
      <c r="G371" s="132" t="s">
        <v>418</v>
      </c>
      <c r="H371" s="132" t="s">
        <v>520</v>
      </c>
      <c r="I371" s="132" t="s">
        <v>108</v>
      </c>
      <c r="J371" s="133" t="s">
        <v>419</v>
      </c>
      <c r="K371" s="134" t="s">
        <v>665</v>
      </c>
      <c r="L371" s="307">
        <f t="shared" si="47"/>
        <v>26407.45</v>
      </c>
      <c r="M371" s="308"/>
      <c r="N371" s="308">
        <v>26407.45</v>
      </c>
      <c r="O371" s="296"/>
      <c r="P371" s="296"/>
      <c r="Q371" s="296"/>
      <c r="R371" s="84"/>
      <c r="S371" s="70">
        <f t="shared" si="51"/>
        <v>0</v>
      </c>
      <c r="T371" s="70"/>
      <c r="U371" s="70">
        <v>26407.45</v>
      </c>
      <c r="V371" s="9" t="s">
        <v>521</v>
      </c>
      <c r="W371" s="19"/>
      <c r="X371" s="70">
        <v>26407.45</v>
      </c>
      <c r="Y371" s="67">
        <f t="shared" si="49"/>
        <v>0</v>
      </c>
      <c r="Z371" s="52"/>
      <c r="AA371" s="52"/>
      <c r="AB371" s="19"/>
      <c r="AC371" s="24">
        <f>X371+Y371+AB371-N371</f>
        <v>0</v>
      </c>
      <c r="AD371" s="19"/>
      <c r="AE371" s="19"/>
      <c r="AF371" s="19"/>
      <c r="AG371" s="19"/>
      <c r="AH371" s="19"/>
      <c r="AI371" s="14"/>
      <c r="AJ371" s="139">
        <v>100</v>
      </c>
      <c r="AK371" s="135" t="s">
        <v>271</v>
      </c>
      <c r="AL371" s="136">
        <v>300000</v>
      </c>
      <c r="AM371" s="138">
        <v>95</v>
      </c>
    </row>
    <row r="372" spans="1:40" s="66" customFormat="1" ht="66">
      <c r="A372" s="72" t="s">
        <v>876</v>
      </c>
      <c r="B372" s="72"/>
      <c r="C372" s="72"/>
      <c r="D372" s="72"/>
      <c r="E372" s="120"/>
      <c r="F372" s="120"/>
      <c r="G372" s="132" t="s">
        <v>418</v>
      </c>
      <c r="H372" s="132" t="s">
        <v>520</v>
      </c>
      <c r="I372" s="132" t="s">
        <v>108</v>
      </c>
      <c r="J372" s="133" t="s">
        <v>419</v>
      </c>
      <c r="K372" s="134" t="s">
        <v>1357</v>
      </c>
      <c r="L372" s="307">
        <f t="shared" si="47"/>
        <v>500000</v>
      </c>
      <c r="M372" s="308"/>
      <c r="N372" s="308"/>
      <c r="O372" s="296">
        <v>500000</v>
      </c>
      <c r="P372" s="296"/>
      <c r="Q372" s="296"/>
      <c r="R372" s="84"/>
      <c r="S372" s="70"/>
      <c r="T372" s="70"/>
      <c r="U372" s="70"/>
      <c r="V372" s="69"/>
      <c r="W372" s="67"/>
      <c r="X372" s="70"/>
      <c r="Y372" s="67"/>
      <c r="Z372" s="67"/>
      <c r="AA372" s="67"/>
      <c r="AB372" s="67"/>
      <c r="AC372" s="65"/>
      <c r="AD372" s="67"/>
      <c r="AE372" s="67"/>
      <c r="AF372" s="67"/>
      <c r="AG372" s="67"/>
      <c r="AH372" s="67"/>
      <c r="AI372" s="71"/>
      <c r="AJ372" s="139"/>
      <c r="AK372" s="135"/>
      <c r="AL372" s="136"/>
      <c r="AM372" s="138"/>
    </row>
    <row r="373" spans="1:40" s="66" customFormat="1" ht="49.5">
      <c r="A373" s="72" t="s">
        <v>876</v>
      </c>
      <c r="B373" s="72"/>
      <c r="C373" s="72"/>
      <c r="D373" s="72"/>
      <c r="E373" s="120"/>
      <c r="F373" s="120"/>
      <c r="G373" s="132" t="s">
        <v>418</v>
      </c>
      <c r="H373" s="132" t="s">
        <v>520</v>
      </c>
      <c r="I373" s="132" t="s">
        <v>108</v>
      </c>
      <c r="J373" s="133" t="s">
        <v>419</v>
      </c>
      <c r="K373" s="134" t="s">
        <v>1358</v>
      </c>
      <c r="L373" s="307">
        <f t="shared" si="47"/>
        <v>1302000</v>
      </c>
      <c r="M373" s="308"/>
      <c r="N373" s="308"/>
      <c r="O373" s="296">
        <v>1302000</v>
      </c>
      <c r="P373" s="296"/>
      <c r="Q373" s="296"/>
      <c r="R373" s="84"/>
      <c r="S373" s="70"/>
      <c r="T373" s="70"/>
      <c r="U373" s="70"/>
      <c r="V373" s="69"/>
      <c r="W373" s="67"/>
      <c r="X373" s="70"/>
      <c r="Y373" s="67"/>
      <c r="Z373" s="67"/>
      <c r="AA373" s="67"/>
      <c r="AB373" s="67"/>
      <c r="AC373" s="65"/>
      <c r="AD373" s="67"/>
      <c r="AE373" s="67"/>
      <c r="AF373" s="67"/>
      <c r="AG373" s="67"/>
      <c r="AH373" s="67"/>
      <c r="AI373" s="71"/>
      <c r="AJ373" s="139"/>
      <c r="AK373" s="135"/>
      <c r="AL373" s="136"/>
      <c r="AM373" s="138"/>
    </row>
    <row r="374" spans="1:40" s="66" customFormat="1" ht="33">
      <c r="A374" s="72" t="s">
        <v>876</v>
      </c>
      <c r="B374" s="72"/>
      <c r="C374" s="72"/>
      <c r="D374" s="72"/>
      <c r="E374" s="120"/>
      <c r="F374" s="120"/>
      <c r="G374" s="132" t="s">
        <v>418</v>
      </c>
      <c r="H374" s="132" t="s">
        <v>520</v>
      </c>
      <c r="I374" s="132" t="s">
        <v>108</v>
      </c>
      <c r="J374" s="133" t="s">
        <v>419</v>
      </c>
      <c r="K374" s="134" t="s">
        <v>1359</v>
      </c>
      <c r="L374" s="307">
        <f t="shared" si="47"/>
        <v>648070</v>
      </c>
      <c r="M374" s="308"/>
      <c r="N374" s="308"/>
      <c r="O374" s="296">
        <v>648070</v>
      </c>
      <c r="P374" s="296"/>
      <c r="Q374" s="296"/>
      <c r="R374" s="84"/>
      <c r="S374" s="70"/>
      <c r="T374" s="70"/>
      <c r="U374" s="70"/>
      <c r="V374" s="69"/>
      <c r="W374" s="67"/>
      <c r="X374" s="70"/>
      <c r="Y374" s="67"/>
      <c r="Z374" s="67"/>
      <c r="AA374" s="67"/>
      <c r="AB374" s="67"/>
      <c r="AC374" s="65"/>
      <c r="AD374" s="67"/>
      <c r="AE374" s="67"/>
      <c r="AF374" s="67"/>
      <c r="AG374" s="67"/>
      <c r="AH374" s="67"/>
      <c r="AI374" s="71"/>
      <c r="AJ374" s="139"/>
      <c r="AK374" s="135"/>
      <c r="AL374" s="136"/>
      <c r="AM374" s="138"/>
    </row>
    <row r="375" spans="1:40" s="66" customFormat="1" ht="33">
      <c r="A375" s="72" t="s">
        <v>876</v>
      </c>
      <c r="B375" s="72"/>
      <c r="C375" s="72"/>
      <c r="D375" s="72"/>
      <c r="E375" s="120"/>
      <c r="F375" s="120"/>
      <c r="G375" s="132" t="s">
        <v>418</v>
      </c>
      <c r="H375" s="132" t="s">
        <v>520</v>
      </c>
      <c r="I375" s="132" t="s">
        <v>108</v>
      </c>
      <c r="J375" s="133" t="s">
        <v>419</v>
      </c>
      <c r="K375" s="134" t="s">
        <v>1360</v>
      </c>
      <c r="L375" s="307">
        <f t="shared" si="47"/>
        <v>52000</v>
      </c>
      <c r="M375" s="308"/>
      <c r="N375" s="308"/>
      <c r="O375" s="296">
        <v>52000</v>
      </c>
      <c r="P375" s="296"/>
      <c r="Q375" s="296"/>
      <c r="R375" s="84"/>
      <c r="S375" s="70"/>
      <c r="T375" s="70"/>
      <c r="U375" s="70"/>
      <c r="V375" s="69"/>
      <c r="W375" s="67"/>
      <c r="X375" s="70"/>
      <c r="Y375" s="67"/>
      <c r="Z375" s="67"/>
      <c r="AA375" s="67"/>
      <c r="AB375" s="67"/>
      <c r="AC375" s="65"/>
      <c r="AD375" s="67"/>
      <c r="AE375" s="67"/>
      <c r="AF375" s="67"/>
      <c r="AG375" s="67"/>
      <c r="AH375" s="67"/>
      <c r="AI375" s="71"/>
      <c r="AJ375" s="139"/>
      <c r="AK375" s="135"/>
      <c r="AL375" s="136"/>
      <c r="AM375" s="138"/>
    </row>
    <row r="376" spans="1:40" s="66" customFormat="1" ht="33">
      <c r="A376" s="72" t="s">
        <v>876</v>
      </c>
      <c r="B376" s="72"/>
      <c r="C376" s="72"/>
      <c r="D376" s="72"/>
      <c r="E376" s="120"/>
      <c r="F376" s="120"/>
      <c r="G376" s="132" t="s">
        <v>418</v>
      </c>
      <c r="H376" s="132" t="s">
        <v>520</v>
      </c>
      <c r="I376" s="132" t="s">
        <v>108</v>
      </c>
      <c r="J376" s="133" t="s">
        <v>419</v>
      </c>
      <c r="K376" s="134" t="s">
        <v>1361</v>
      </c>
      <c r="L376" s="307">
        <f t="shared" si="47"/>
        <v>150000</v>
      </c>
      <c r="M376" s="308"/>
      <c r="N376" s="308"/>
      <c r="O376" s="296">
        <v>150000</v>
      </c>
      <c r="P376" s="296"/>
      <c r="Q376" s="296"/>
      <c r="R376" s="84"/>
      <c r="S376" s="70"/>
      <c r="T376" s="70"/>
      <c r="U376" s="70"/>
      <c r="V376" s="69"/>
      <c r="W376" s="67"/>
      <c r="X376" s="70"/>
      <c r="Y376" s="67"/>
      <c r="Z376" s="67"/>
      <c r="AA376" s="67"/>
      <c r="AB376" s="67"/>
      <c r="AC376" s="65"/>
      <c r="AD376" s="67"/>
      <c r="AE376" s="67"/>
      <c r="AF376" s="67"/>
      <c r="AG376" s="67"/>
      <c r="AH376" s="67"/>
      <c r="AI376" s="71"/>
      <c r="AJ376" s="139"/>
      <c r="AK376" s="135"/>
      <c r="AL376" s="136"/>
      <c r="AM376" s="138"/>
    </row>
    <row r="377" spans="1:40" s="66" customFormat="1" ht="33">
      <c r="A377" s="72" t="s">
        <v>876</v>
      </c>
      <c r="B377" s="72"/>
      <c r="C377" s="72"/>
      <c r="D377" s="72"/>
      <c r="E377" s="120"/>
      <c r="F377" s="120"/>
      <c r="G377" s="132" t="s">
        <v>418</v>
      </c>
      <c r="H377" s="132" t="s">
        <v>520</v>
      </c>
      <c r="I377" s="132" t="s">
        <v>108</v>
      </c>
      <c r="J377" s="133" t="s">
        <v>419</v>
      </c>
      <c r="K377" s="134" t="s">
        <v>1362</v>
      </c>
      <c r="L377" s="307">
        <f t="shared" si="47"/>
        <v>150000</v>
      </c>
      <c r="M377" s="308"/>
      <c r="N377" s="308"/>
      <c r="O377" s="296">
        <v>150000</v>
      </c>
      <c r="P377" s="296"/>
      <c r="Q377" s="296"/>
      <c r="R377" s="84"/>
      <c r="S377" s="70"/>
      <c r="T377" s="70"/>
      <c r="U377" s="70"/>
      <c r="V377" s="69"/>
      <c r="W377" s="67"/>
      <c r="X377" s="70"/>
      <c r="Y377" s="67"/>
      <c r="Z377" s="67"/>
      <c r="AA377" s="67"/>
      <c r="AB377" s="67"/>
      <c r="AC377" s="65"/>
      <c r="AD377" s="67"/>
      <c r="AE377" s="67"/>
      <c r="AF377" s="67"/>
      <c r="AG377" s="67"/>
      <c r="AH377" s="67"/>
      <c r="AI377" s="71"/>
      <c r="AJ377" s="139"/>
      <c r="AK377" s="135"/>
      <c r="AL377" s="136"/>
      <c r="AM377" s="138"/>
    </row>
    <row r="378" spans="1:40" s="51" customFormat="1" ht="82.5">
      <c r="A378" s="34" t="s">
        <v>876</v>
      </c>
      <c r="B378" s="34"/>
      <c r="C378" s="72"/>
      <c r="D378" s="72"/>
      <c r="E378" s="120"/>
      <c r="F378" s="120"/>
      <c r="G378" s="123" t="s">
        <v>1242</v>
      </c>
      <c r="H378" s="123" t="s">
        <v>1104</v>
      </c>
      <c r="I378" s="123" t="s">
        <v>25</v>
      </c>
      <c r="J378" s="124" t="s">
        <v>1105</v>
      </c>
      <c r="K378" s="134" t="s">
        <v>1235</v>
      </c>
      <c r="L378" s="307">
        <f t="shared" si="47"/>
        <v>2000000</v>
      </c>
      <c r="M378" s="308"/>
      <c r="N378" s="308">
        <v>2000000</v>
      </c>
      <c r="O378" s="309"/>
      <c r="P378" s="309"/>
      <c r="Q378" s="309"/>
      <c r="R378" s="117"/>
      <c r="S378" s="70">
        <f>N378-U378</f>
        <v>0</v>
      </c>
      <c r="T378" s="70"/>
      <c r="U378" s="118">
        <v>2000000</v>
      </c>
      <c r="V378" s="69"/>
      <c r="W378" s="67"/>
      <c r="X378" s="70"/>
      <c r="Y378" s="67"/>
      <c r="Z378" s="67"/>
      <c r="AA378" s="67"/>
      <c r="AB378" s="67"/>
      <c r="AC378" s="65" t="e">
        <f>#REF!+#REF!+AB378-N378</f>
        <v>#REF!</v>
      </c>
      <c r="AD378" s="67"/>
      <c r="AE378" s="67"/>
      <c r="AF378" s="67"/>
      <c r="AG378" s="67"/>
      <c r="AH378" s="67"/>
      <c r="AI378" s="14"/>
      <c r="AJ378" s="139"/>
      <c r="AK378" s="135">
        <v>2021</v>
      </c>
      <c r="AL378" s="136"/>
      <c r="AM378" s="138"/>
    </row>
    <row r="379" spans="1:40" s="198" customFormat="1">
      <c r="A379" s="193" t="s">
        <v>878</v>
      </c>
      <c r="B379" s="181" t="s">
        <v>193</v>
      </c>
      <c r="C379" s="181"/>
      <c r="D379" s="181"/>
      <c r="E379" s="182"/>
      <c r="F379" s="182"/>
      <c r="G379" s="183" t="s">
        <v>47</v>
      </c>
      <c r="H379" s="183"/>
      <c r="I379" s="183"/>
      <c r="J379" s="184" t="s">
        <v>48</v>
      </c>
      <c r="K379" s="201"/>
      <c r="L379" s="287">
        <f>SUM(L381:L462)-L459-L461</f>
        <v>258834832</v>
      </c>
      <c r="M379" s="287">
        <f t="shared" ref="M379:Q379" si="52">SUM(M381:M462)-M459-M461</f>
        <v>14032000</v>
      </c>
      <c r="N379" s="287">
        <f t="shared" si="52"/>
        <v>236984632</v>
      </c>
      <c r="O379" s="287">
        <f t="shared" si="52"/>
        <v>0</v>
      </c>
      <c r="P379" s="287">
        <f t="shared" si="52"/>
        <v>2500000</v>
      </c>
      <c r="Q379" s="287">
        <f t="shared" si="52"/>
        <v>5318200</v>
      </c>
      <c r="R379" s="187">
        <f t="shared" ref="R379:R380" si="53">L379-M379-N379-O379-P379-Q379</f>
        <v>0</v>
      </c>
      <c r="S379" s="187">
        <f>SUM(S381:S462)-S458-S460+5410160</f>
        <v>40450000</v>
      </c>
      <c r="T379" s="187"/>
      <c r="U379" s="187">
        <f>SUM(U381:U462)</f>
        <v>218915000</v>
      </c>
      <c r="V379" s="187"/>
      <c r="W379" s="187">
        <f>SUM(W381:W462)</f>
        <v>0</v>
      </c>
      <c r="X379" s="187">
        <f>SUM(X381:X462)</f>
        <v>0</v>
      </c>
      <c r="Y379" s="187">
        <f>SUM(Y381:Y462)</f>
        <v>76114024</v>
      </c>
      <c r="Z379" s="187"/>
      <c r="AA379" s="187"/>
      <c r="AB379" s="187">
        <f>SUM(AB381:AB462)</f>
        <v>12250000</v>
      </c>
      <c r="AC379" s="187">
        <f>X379+Y379+AB379-N379</f>
        <v>-148620608</v>
      </c>
      <c r="AD379" s="187">
        <f>SUM(AD381:AD462)</f>
        <v>0</v>
      </c>
      <c r="AE379" s="187">
        <f>SUM(AE381:AE462)</f>
        <v>0</v>
      </c>
      <c r="AF379" s="187">
        <f>SUM(AF381:AF462)</f>
        <v>0</v>
      </c>
      <c r="AG379" s="187">
        <f>SUM(AG381:AG462)</f>
        <v>0</v>
      </c>
      <c r="AH379" s="187">
        <f>SUM(AH381:AH462)</f>
        <v>29013000</v>
      </c>
      <c r="AI379" s="195"/>
      <c r="AJ379" s="187"/>
      <c r="AK379" s="185"/>
      <c r="AL379" s="196"/>
      <c r="AM379" s="197"/>
    </row>
    <row r="380" spans="1:40" s="198" customFormat="1">
      <c r="A380" s="193" t="s">
        <v>878</v>
      </c>
      <c r="B380" s="193"/>
      <c r="C380" s="193"/>
      <c r="D380" s="193"/>
      <c r="E380" s="182"/>
      <c r="F380" s="182"/>
      <c r="G380" s="183" t="s">
        <v>49</v>
      </c>
      <c r="H380" s="183"/>
      <c r="I380" s="183"/>
      <c r="J380" s="190" t="s">
        <v>48</v>
      </c>
      <c r="K380" s="201"/>
      <c r="L380" s="290"/>
      <c r="M380" s="291"/>
      <c r="N380" s="297"/>
      <c r="O380" s="297"/>
      <c r="P380" s="297"/>
      <c r="Q380" s="297"/>
      <c r="R380" s="187">
        <f t="shared" si="53"/>
        <v>0</v>
      </c>
      <c r="S380" s="187"/>
      <c r="T380" s="187"/>
      <c r="U380" s="199">
        <f>U379-N379</f>
        <v>-18069632</v>
      </c>
      <c r="V380" s="200"/>
      <c r="W380" s="199"/>
      <c r="X380" s="199"/>
      <c r="Y380" s="199"/>
      <c r="Z380" s="199"/>
      <c r="AA380" s="199"/>
      <c r="AB380" s="199"/>
      <c r="AC380" s="199"/>
      <c r="AD380" s="199"/>
      <c r="AE380" s="199"/>
      <c r="AF380" s="199"/>
      <c r="AG380" s="199"/>
      <c r="AH380" s="199"/>
      <c r="AI380" s="195"/>
      <c r="AJ380" s="199"/>
      <c r="AK380" s="185"/>
      <c r="AL380" s="196"/>
      <c r="AM380" s="197"/>
    </row>
    <row r="381" spans="1:40" s="27" customFormat="1" ht="33">
      <c r="A381" s="34" t="s">
        <v>878</v>
      </c>
      <c r="B381" s="72"/>
      <c r="C381" s="72" t="s">
        <v>1181</v>
      </c>
      <c r="D381" s="72"/>
      <c r="E381" s="120" t="s">
        <v>1469</v>
      </c>
      <c r="F381" s="120"/>
      <c r="G381" s="132" t="s">
        <v>457</v>
      </c>
      <c r="H381" s="132" t="s">
        <v>15</v>
      </c>
      <c r="I381" s="132" t="s">
        <v>16</v>
      </c>
      <c r="J381" s="133" t="s">
        <v>458</v>
      </c>
      <c r="K381" s="134" t="s">
        <v>18</v>
      </c>
      <c r="L381" s="307">
        <f t="shared" ref="L381:L412" si="54">SUM(M381:Q381)</f>
        <v>60000</v>
      </c>
      <c r="M381" s="308"/>
      <c r="N381" s="308">
        <v>60000</v>
      </c>
      <c r="O381" s="300"/>
      <c r="P381" s="310"/>
      <c r="Q381" s="310"/>
      <c r="R381" s="72"/>
      <c r="S381" s="68">
        <f t="shared" ref="S381:S394" si="55">N381-U381</f>
        <v>0</v>
      </c>
      <c r="T381" s="68"/>
      <c r="U381" s="68">
        <v>60000</v>
      </c>
      <c r="V381" s="10">
        <v>3</v>
      </c>
      <c r="W381" s="68" t="s">
        <v>273</v>
      </c>
      <c r="X381" s="68"/>
      <c r="Y381" s="68"/>
      <c r="Z381" s="68">
        <v>50000000</v>
      </c>
      <c r="AA381" s="68">
        <v>2000000</v>
      </c>
      <c r="AB381" s="68">
        <v>4000000</v>
      </c>
      <c r="AC381" s="68"/>
      <c r="AD381" s="68"/>
      <c r="AE381" s="68"/>
      <c r="AF381" s="68"/>
      <c r="AG381" s="68"/>
      <c r="AH381" s="68"/>
      <c r="AI381" s="14"/>
      <c r="AJ381" s="139"/>
      <c r="AK381" s="135">
        <v>2021</v>
      </c>
      <c r="AL381" s="136">
        <v>60000</v>
      </c>
      <c r="AM381" s="139"/>
      <c r="AN381" s="51"/>
    </row>
    <row r="382" spans="1:40" s="51" customFormat="1" ht="49.5">
      <c r="A382" s="34" t="s">
        <v>878</v>
      </c>
      <c r="B382" s="34"/>
      <c r="C382" s="72" t="s">
        <v>1181</v>
      </c>
      <c r="D382" s="72" t="s">
        <v>1205</v>
      </c>
      <c r="E382" s="120" t="s">
        <v>905</v>
      </c>
      <c r="F382" s="120"/>
      <c r="G382" s="132" t="s">
        <v>194</v>
      </c>
      <c r="H382" s="132">
        <v>2010</v>
      </c>
      <c r="I382" s="132" t="s">
        <v>195</v>
      </c>
      <c r="J382" s="133" t="s">
        <v>196</v>
      </c>
      <c r="K382" s="134" t="s">
        <v>1094</v>
      </c>
      <c r="L382" s="307">
        <f t="shared" si="54"/>
        <v>4000000</v>
      </c>
      <c r="M382" s="308"/>
      <c r="N382" s="308">
        <v>4000000</v>
      </c>
      <c r="O382" s="311"/>
      <c r="P382" s="311"/>
      <c r="Q382" s="311"/>
      <c r="R382" s="91"/>
      <c r="S382" s="68">
        <f t="shared" si="55"/>
        <v>0</v>
      </c>
      <c r="T382" s="68"/>
      <c r="U382" s="68">
        <v>4000000</v>
      </c>
      <c r="V382" s="10">
        <v>3</v>
      </c>
      <c r="W382" s="2"/>
      <c r="X382" s="2"/>
      <c r="Y382" s="2"/>
      <c r="Z382" s="2"/>
      <c r="AA382" s="2"/>
      <c r="AB382" s="2"/>
      <c r="AC382" s="2"/>
      <c r="AD382" s="2"/>
      <c r="AE382" s="2"/>
      <c r="AF382" s="2"/>
      <c r="AG382" s="2"/>
      <c r="AH382" s="2"/>
      <c r="AI382" s="14"/>
      <c r="AJ382" s="140"/>
      <c r="AK382" s="135">
        <v>2021</v>
      </c>
      <c r="AL382" s="136">
        <v>4000000</v>
      </c>
      <c r="AM382" s="139"/>
    </row>
    <row r="383" spans="1:40" s="51" customFormat="1" ht="49.5">
      <c r="A383" s="34" t="s">
        <v>878</v>
      </c>
      <c r="B383" s="34"/>
      <c r="C383" s="72" t="s">
        <v>1181</v>
      </c>
      <c r="D383" s="72" t="s">
        <v>1205</v>
      </c>
      <c r="E383" s="120" t="s">
        <v>902</v>
      </c>
      <c r="F383" s="120"/>
      <c r="G383" s="132" t="s">
        <v>194</v>
      </c>
      <c r="H383" s="132">
        <v>2010</v>
      </c>
      <c r="I383" s="132" t="s">
        <v>195</v>
      </c>
      <c r="J383" s="133" t="s">
        <v>196</v>
      </c>
      <c r="K383" s="134" t="s">
        <v>1068</v>
      </c>
      <c r="L383" s="307">
        <f t="shared" si="54"/>
        <v>630000</v>
      </c>
      <c r="M383" s="308"/>
      <c r="N383" s="308">
        <v>630000</v>
      </c>
      <c r="O383" s="311"/>
      <c r="P383" s="311"/>
      <c r="Q383" s="311"/>
      <c r="R383" s="91"/>
      <c r="S383" s="68">
        <f t="shared" si="55"/>
        <v>0</v>
      </c>
      <c r="T383" s="68"/>
      <c r="U383" s="68">
        <v>630000</v>
      </c>
      <c r="V383" s="10">
        <v>3</v>
      </c>
      <c r="W383" s="2"/>
      <c r="X383" s="2"/>
      <c r="Y383" s="2"/>
      <c r="Z383" s="2"/>
      <c r="AA383" s="2"/>
      <c r="AB383" s="2"/>
      <c r="AC383" s="2"/>
      <c r="AD383" s="2"/>
      <c r="AE383" s="2"/>
      <c r="AF383" s="2"/>
      <c r="AG383" s="2"/>
      <c r="AH383" s="2"/>
      <c r="AI383" s="14"/>
      <c r="AJ383" s="140"/>
      <c r="AK383" s="135">
        <v>2021</v>
      </c>
      <c r="AL383" s="136">
        <v>630000</v>
      </c>
      <c r="AM383" s="139"/>
    </row>
    <row r="384" spans="1:40" s="66" customFormat="1" ht="49.5">
      <c r="A384" s="72" t="s">
        <v>878</v>
      </c>
      <c r="B384" s="72"/>
      <c r="C384" s="72" t="s">
        <v>1181</v>
      </c>
      <c r="D384" s="72" t="s">
        <v>1205</v>
      </c>
      <c r="E384" s="120" t="s">
        <v>902</v>
      </c>
      <c r="F384" s="120"/>
      <c r="G384" s="132" t="s">
        <v>194</v>
      </c>
      <c r="H384" s="132">
        <v>2010</v>
      </c>
      <c r="I384" s="132" t="s">
        <v>195</v>
      </c>
      <c r="J384" s="133" t="s">
        <v>196</v>
      </c>
      <c r="K384" s="134" t="s">
        <v>1292</v>
      </c>
      <c r="L384" s="307">
        <f t="shared" si="54"/>
        <v>1200000</v>
      </c>
      <c r="M384" s="308"/>
      <c r="N384" s="308">
        <v>1200000</v>
      </c>
      <c r="O384" s="312"/>
      <c r="P384" s="312"/>
      <c r="Q384" s="312"/>
      <c r="R384" s="167"/>
      <c r="S384" s="68">
        <f t="shared" si="55"/>
        <v>1200000</v>
      </c>
      <c r="T384" s="68"/>
      <c r="U384" s="68"/>
      <c r="V384" s="10"/>
      <c r="W384" s="68"/>
      <c r="X384" s="68"/>
      <c r="Y384" s="68"/>
      <c r="Z384" s="68"/>
      <c r="AA384" s="68"/>
      <c r="AB384" s="68"/>
      <c r="AC384" s="68"/>
      <c r="AD384" s="68"/>
      <c r="AE384" s="68"/>
      <c r="AF384" s="68"/>
      <c r="AG384" s="68"/>
      <c r="AH384" s="68"/>
      <c r="AI384" s="71"/>
      <c r="AJ384" s="140">
        <v>100</v>
      </c>
      <c r="AK384" s="135">
        <v>2021</v>
      </c>
      <c r="AL384" s="136">
        <v>1200000</v>
      </c>
      <c r="AM384" s="139"/>
    </row>
    <row r="385" spans="1:16378" s="66" customFormat="1" ht="49.5">
      <c r="A385" s="72" t="s">
        <v>878</v>
      </c>
      <c r="B385" s="72"/>
      <c r="C385" s="72" t="s">
        <v>1181</v>
      </c>
      <c r="D385" s="72" t="s">
        <v>1202</v>
      </c>
      <c r="E385" s="120" t="s">
        <v>906</v>
      </c>
      <c r="F385" s="120"/>
      <c r="G385" s="132" t="s">
        <v>194</v>
      </c>
      <c r="H385" s="132">
        <v>2010</v>
      </c>
      <c r="I385" s="132" t="s">
        <v>195</v>
      </c>
      <c r="J385" s="133" t="s">
        <v>196</v>
      </c>
      <c r="K385" s="134" t="s">
        <v>1293</v>
      </c>
      <c r="L385" s="307">
        <f t="shared" si="54"/>
        <v>1200000</v>
      </c>
      <c r="M385" s="308"/>
      <c r="N385" s="308">
        <v>1200000</v>
      </c>
      <c r="O385" s="312"/>
      <c r="P385" s="312"/>
      <c r="Q385" s="312"/>
      <c r="R385" s="167"/>
      <c r="S385" s="68">
        <f t="shared" si="55"/>
        <v>1200000</v>
      </c>
      <c r="T385" s="68"/>
      <c r="U385" s="68"/>
      <c r="V385" s="10"/>
      <c r="W385" s="68"/>
      <c r="X385" s="68"/>
      <c r="Y385" s="68"/>
      <c r="Z385" s="68"/>
      <c r="AA385" s="68"/>
      <c r="AB385" s="68"/>
      <c r="AC385" s="68"/>
      <c r="AD385" s="68"/>
      <c r="AE385" s="68"/>
      <c r="AF385" s="68"/>
      <c r="AG385" s="68"/>
      <c r="AH385" s="68"/>
      <c r="AI385" s="71"/>
      <c r="AJ385" s="140">
        <v>100</v>
      </c>
      <c r="AK385" s="135">
        <v>2021</v>
      </c>
      <c r="AL385" s="136">
        <v>1200000</v>
      </c>
      <c r="AM385" s="139"/>
    </row>
    <row r="386" spans="1:16378" s="51" customFormat="1" ht="49.5">
      <c r="A386" s="34" t="s">
        <v>878</v>
      </c>
      <c r="B386" s="34"/>
      <c r="C386" s="72" t="s">
        <v>1181</v>
      </c>
      <c r="D386" s="72" t="s">
        <v>1203</v>
      </c>
      <c r="E386" s="120" t="s">
        <v>905</v>
      </c>
      <c r="F386" s="120"/>
      <c r="G386" s="132" t="s">
        <v>194</v>
      </c>
      <c r="H386" s="132">
        <v>2010</v>
      </c>
      <c r="I386" s="132" t="s">
        <v>195</v>
      </c>
      <c r="J386" s="133" t="s">
        <v>196</v>
      </c>
      <c r="K386" s="134" t="s">
        <v>1095</v>
      </c>
      <c r="L386" s="307">
        <f t="shared" si="54"/>
        <v>500000</v>
      </c>
      <c r="M386" s="308"/>
      <c r="N386" s="308">
        <v>500000</v>
      </c>
      <c r="O386" s="311"/>
      <c r="P386" s="311"/>
      <c r="Q386" s="311"/>
      <c r="R386" s="91"/>
      <c r="S386" s="68">
        <f t="shared" si="55"/>
        <v>0</v>
      </c>
      <c r="T386" s="68"/>
      <c r="U386" s="68">
        <v>500000</v>
      </c>
      <c r="V386" s="10">
        <v>3</v>
      </c>
      <c r="W386" s="2"/>
      <c r="X386" s="2"/>
      <c r="Y386" s="2"/>
      <c r="Z386" s="2"/>
      <c r="AA386" s="2"/>
      <c r="AB386" s="2"/>
      <c r="AC386" s="2"/>
      <c r="AD386" s="2"/>
      <c r="AE386" s="2"/>
      <c r="AF386" s="2"/>
      <c r="AG386" s="2"/>
      <c r="AH386" s="2"/>
      <c r="AI386" s="14"/>
      <c r="AJ386" s="140"/>
      <c r="AK386" s="135">
        <v>2021</v>
      </c>
      <c r="AL386" s="136">
        <v>500000</v>
      </c>
      <c r="AM386" s="139"/>
    </row>
    <row r="387" spans="1:16378" s="51" customFormat="1" ht="49.5">
      <c r="A387" s="34" t="s">
        <v>878</v>
      </c>
      <c r="B387" s="34"/>
      <c r="C387" s="72" t="s">
        <v>1181</v>
      </c>
      <c r="D387" s="72" t="s">
        <v>1203</v>
      </c>
      <c r="E387" s="120" t="s">
        <v>905</v>
      </c>
      <c r="F387" s="120"/>
      <c r="G387" s="132" t="s">
        <v>194</v>
      </c>
      <c r="H387" s="132">
        <v>2010</v>
      </c>
      <c r="I387" s="132" t="s">
        <v>195</v>
      </c>
      <c r="J387" s="133" t="s">
        <v>196</v>
      </c>
      <c r="K387" s="134" t="s">
        <v>1096</v>
      </c>
      <c r="L387" s="307">
        <f t="shared" si="54"/>
        <v>5300000</v>
      </c>
      <c r="M387" s="308"/>
      <c r="N387" s="308">
        <v>5300000</v>
      </c>
      <c r="O387" s="311"/>
      <c r="P387" s="311"/>
      <c r="Q387" s="311"/>
      <c r="R387" s="91"/>
      <c r="S387" s="68">
        <f t="shared" si="55"/>
        <v>0</v>
      </c>
      <c r="T387" s="68"/>
      <c r="U387" s="68">
        <v>5300000</v>
      </c>
      <c r="V387" s="10">
        <v>3</v>
      </c>
      <c r="W387" s="68"/>
      <c r="X387" s="68"/>
      <c r="Y387" s="68"/>
      <c r="Z387" s="68"/>
      <c r="AA387" s="68"/>
      <c r="AB387" s="68"/>
      <c r="AC387" s="68"/>
      <c r="AD387" s="68"/>
      <c r="AE387" s="68"/>
      <c r="AF387" s="68"/>
      <c r="AG387" s="68"/>
      <c r="AH387" s="68"/>
      <c r="AI387" s="14"/>
      <c r="AJ387" s="140"/>
      <c r="AK387" s="135">
        <v>2021</v>
      </c>
      <c r="AL387" s="136">
        <v>5300000</v>
      </c>
      <c r="AM387" s="139"/>
    </row>
    <row r="388" spans="1:16378" s="51" customFormat="1" ht="66">
      <c r="A388" s="34" t="s">
        <v>878</v>
      </c>
      <c r="B388" s="34"/>
      <c r="C388" s="72" t="s">
        <v>1181</v>
      </c>
      <c r="D388" s="72" t="s">
        <v>1203</v>
      </c>
      <c r="E388" s="120" t="s">
        <v>905</v>
      </c>
      <c r="F388" s="120"/>
      <c r="G388" s="132" t="s">
        <v>194</v>
      </c>
      <c r="H388" s="132">
        <v>2010</v>
      </c>
      <c r="I388" s="132" t="s">
        <v>195</v>
      </c>
      <c r="J388" s="133" t="s">
        <v>196</v>
      </c>
      <c r="K388" s="134" t="s">
        <v>1069</v>
      </c>
      <c r="L388" s="307">
        <f t="shared" si="54"/>
        <v>500000</v>
      </c>
      <c r="M388" s="308"/>
      <c r="N388" s="308">
        <v>500000</v>
      </c>
      <c r="O388" s="311"/>
      <c r="P388" s="311"/>
      <c r="Q388" s="311"/>
      <c r="R388" s="91"/>
      <c r="S388" s="68">
        <f t="shared" si="55"/>
        <v>0</v>
      </c>
      <c r="T388" s="68"/>
      <c r="U388" s="68">
        <v>500000</v>
      </c>
      <c r="V388" s="10">
        <v>3</v>
      </c>
      <c r="W388" s="2"/>
      <c r="X388" s="2"/>
      <c r="Y388" s="2"/>
      <c r="Z388" s="2"/>
      <c r="AA388" s="2"/>
      <c r="AB388" s="2"/>
      <c r="AC388" s="2"/>
      <c r="AD388" s="2"/>
      <c r="AE388" s="2"/>
      <c r="AF388" s="2"/>
      <c r="AG388" s="2"/>
      <c r="AH388" s="2"/>
      <c r="AI388" s="14"/>
      <c r="AJ388" s="140"/>
      <c r="AK388" s="135">
        <v>2021</v>
      </c>
      <c r="AL388" s="136">
        <v>500000</v>
      </c>
      <c r="AM388" s="139"/>
    </row>
    <row r="389" spans="1:16378" s="51" customFormat="1" ht="66">
      <c r="A389" s="34" t="s">
        <v>878</v>
      </c>
      <c r="B389" s="34"/>
      <c r="C389" s="72" t="s">
        <v>1181</v>
      </c>
      <c r="D389" s="72" t="s">
        <v>1214</v>
      </c>
      <c r="E389" s="120" t="s">
        <v>904</v>
      </c>
      <c r="F389" s="120"/>
      <c r="G389" s="132" t="s">
        <v>194</v>
      </c>
      <c r="H389" s="132">
        <v>2010</v>
      </c>
      <c r="I389" s="132" t="s">
        <v>195</v>
      </c>
      <c r="J389" s="133" t="s">
        <v>196</v>
      </c>
      <c r="K389" s="134" t="s">
        <v>1136</v>
      </c>
      <c r="L389" s="307">
        <f t="shared" si="54"/>
        <v>2500000</v>
      </c>
      <c r="M389" s="308"/>
      <c r="N389" s="308">
        <f>2100000+400000</f>
        <v>2500000</v>
      </c>
      <c r="O389" s="311"/>
      <c r="P389" s="311"/>
      <c r="Q389" s="311"/>
      <c r="R389" s="91"/>
      <c r="S389" s="68">
        <f t="shared" si="55"/>
        <v>400000</v>
      </c>
      <c r="T389" s="68"/>
      <c r="U389" s="68">
        <v>2100000</v>
      </c>
      <c r="V389" s="10">
        <v>3</v>
      </c>
      <c r="W389" s="2"/>
      <c r="X389" s="2"/>
      <c r="Y389" s="2"/>
      <c r="Z389" s="2"/>
      <c r="AA389" s="2"/>
      <c r="AB389" s="2"/>
      <c r="AC389" s="2"/>
      <c r="AD389" s="2"/>
      <c r="AE389" s="2"/>
      <c r="AF389" s="2"/>
      <c r="AG389" s="2"/>
      <c r="AH389" s="2"/>
      <c r="AI389" s="14"/>
      <c r="AJ389" s="140"/>
      <c r="AK389" s="135">
        <v>2021</v>
      </c>
      <c r="AL389" s="136">
        <v>2500000</v>
      </c>
      <c r="AM389" s="139"/>
    </row>
    <row r="390" spans="1:16378" s="51" customFormat="1" ht="49.5">
      <c r="A390" s="34" t="s">
        <v>878</v>
      </c>
      <c r="B390" s="34"/>
      <c r="C390" s="72" t="s">
        <v>1181</v>
      </c>
      <c r="D390" s="72" t="s">
        <v>1215</v>
      </c>
      <c r="E390" s="120" t="s">
        <v>904</v>
      </c>
      <c r="F390" s="120"/>
      <c r="G390" s="132" t="s">
        <v>194</v>
      </c>
      <c r="H390" s="132">
        <v>2010</v>
      </c>
      <c r="I390" s="132" t="s">
        <v>195</v>
      </c>
      <c r="J390" s="133" t="s">
        <v>196</v>
      </c>
      <c r="K390" s="134" t="s">
        <v>1137</v>
      </c>
      <c r="L390" s="307">
        <f t="shared" si="54"/>
        <v>1500000</v>
      </c>
      <c r="M390" s="308"/>
      <c r="N390" s="308">
        <v>1500000</v>
      </c>
      <c r="O390" s="311"/>
      <c r="P390" s="311"/>
      <c r="Q390" s="311"/>
      <c r="R390" s="91"/>
      <c r="S390" s="68">
        <f t="shared" si="55"/>
        <v>0</v>
      </c>
      <c r="T390" s="68"/>
      <c r="U390" s="68">
        <v>1500000</v>
      </c>
      <c r="V390" s="10">
        <v>3</v>
      </c>
      <c r="W390" s="2"/>
      <c r="X390" s="2"/>
      <c r="Y390" s="2"/>
      <c r="Z390" s="2"/>
      <c r="AA390" s="2"/>
      <c r="AB390" s="2"/>
      <c r="AC390" s="2"/>
      <c r="AD390" s="2"/>
      <c r="AE390" s="2"/>
      <c r="AF390" s="2"/>
      <c r="AG390" s="2"/>
      <c r="AH390" s="2"/>
      <c r="AI390" s="14"/>
      <c r="AJ390" s="140">
        <v>64</v>
      </c>
      <c r="AK390" s="135">
        <v>2021</v>
      </c>
      <c r="AL390" s="136">
        <v>2330000</v>
      </c>
      <c r="AM390" s="139"/>
    </row>
    <row r="391" spans="1:16378" s="66" customFormat="1" ht="49.5">
      <c r="A391" s="72" t="s">
        <v>878</v>
      </c>
      <c r="B391" s="72"/>
      <c r="C391" s="72" t="s">
        <v>1181</v>
      </c>
      <c r="D391" s="72" t="s">
        <v>1199</v>
      </c>
      <c r="E391" s="120" t="s">
        <v>905</v>
      </c>
      <c r="F391" s="120"/>
      <c r="G391" s="132" t="s">
        <v>194</v>
      </c>
      <c r="H391" s="132">
        <v>2010</v>
      </c>
      <c r="I391" s="132" t="s">
        <v>195</v>
      </c>
      <c r="J391" s="133" t="s">
        <v>196</v>
      </c>
      <c r="K391" s="134" t="s">
        <v>1111</v>
      </c>
      <c r="L391" s="307">
        <f t="shared" si="54"/>
        <v>7700000</v>
      </c>
      <c r="M391" s="308"/>
      <c r="N391" s="308">
        <f>2300000+5400000</f>
        <v>7700000</v>
      </c>
      <c r="O391" s="311"/>
      <c r="P391" s="311"/>
      <c r="Q391" s="311"/>
      <c r="R391" s="91"/>
      <c r="S391" s="68">
        <f t="shared" si="55"/>
        <v>5400000</v>
      </c>
      <c r="T391" s="68"/>
      <c r="U391" s="40">
        <v>2300000</v>
      </c>
      <c r="V391" s="10">
        <v>3</v>
      </c>
      <c r="W391" s="68"/>
      <c r="X391" s="68"/>
      <c r="Y391" s="68"/>
      <c r="Z391" s="68"/>
      <c r="AA391" s="68"/>
      <c r="AB391" s="68"/>
      <c r="AC391" s="68"/>
      <c r="AD391" s="68"/>
      <c r="AE391" s="68"/>
      <c r="AF391" s="68"/>
      <c r="AG391" s="68"/>
      <c r="AH391" s="68"/>
      <c r="AI391" s="71"/>
      <c r="AJ391" s="140"/>
      <c r="AK391" s="135">
        <v>2021</v>
      </c>
      <c r="AL391" s="136">
        <v>7700000</v>
      </c>
      <c r="AM391" s="139"/>
    </row>
    <row r="392" spans="1:16378" s="51" customFormat="1" ht="49.5">
      <c r="A392" s="34" t="s">
        <v>878</v>
      </c>
      <c r="B392" s="34"/>
      <c r="C392" s="72" t="s">
        <v>1181</v>
      </c>
      <c r="D392" s="72" t="s">
        <v>1199</v>
      </c>
      <c r="E392" s="120" t="s">
        <v>905</v>
      </c>
      <c r="F392" s="120"/>
      <c r="G392" s="132" t="s">
        <v>194</v>
      </c>
      <c r="H392" s="132">
        <v>2010</v>
      </c>
      <c r="I392" s="132" t="s">
        <v>195</v>
      </c>
      <c r="J392" s="133" t="s">
        <v>196</v>
      </c>
      <c r="K392" s="134" t="s">
        <v>1070</v>
      </c>
      <c r="L392" s="307">
        <f t="shared" si="54"/>
        <v>14500000</v>
      </c>
      <c r="M392" s="308"/>
      <c r="N392" s="308">
        <f>4350000+10150000</f>
        <v>14500000</v>
      </c>
      <c r="O392" s="311"/>
      <c r="P392" s="311"/>
      <c r="Q392" s="311"/>
      <c r="R392" s="91"/>
      <c r="S392" s="68">
        <f t="shared" si="55"/>
        <v>10150000</v>
      </c>
      <c r="T392" s="68"/>
      <c r="U392" s="40">
        <v>4350000</v>
      </c>
      <c r="V392" s="10">
        <v>3</v>
      </c>
      <c r="W392" s="2"/>
      <c r="X392" s="2"/>
      <c r="Y392" s="2"/>
      <c r="Z392" s="2"/>
      <c r="AA392" s="2"/>
      <c r="AB392" s="2"/>
      <c r="AC392" s="2"/>
      <c r="AD392" s="2"/>
      <c r="AE392" s="2"/>
      <c r="AF392" s="2"/>
      <c r="AG392" s="2"/>
      <c r="AH392" s="2"/>
      <c r="AI392" s="14"/>
      <c r="AJ392" s="140">
        <v>30</v>
      </c>
      <c r="AK392" s="135">
        <v>2021</v>
      </c>
      <c r="AL392" s="136">
        <v>14500000</v>
      </c>
      <c r="AM392" s="139"/>
    </row>
    <row r="393" spans="1:16378" s="27" customFormat="1" ht="49.5">
      <c r="A393" s="72" t="s">
        <v>878</v>
      </c>
      <c r="B393" s="72"/>
      <c r="C393" s="72" t="s">
        <v>1181</v>
      </c>
      <c r="D393" s="72" t="s">
        <v>1199</v>
      </c>
      <c r="E393" s="120" t="s">
        <v>905</v>
      </c>
      <c r="F393" s="120"/>
      <c r="G393" s="132" t="s">
        <v>194</v>
      </c>
      <c r="H393" s="132">
        <v>2010</v>
      </c>
      <c r="I393" s="132" t="s">
        <v>195</v>
      </c>
      <c r="J393" s="133" t="s">
        <v>196</v>
      </c>
      <c r="K393" s="134" t="s">
        <v>1234</v>
      </c>
      <c r="L393" s="307">
        <f t="shared" si="54"/>
        <v>8000000</v>
      </c>
      <c r="M393" s="308"/>
      <c r="N393" s="308">
        <f>2400000+5600000</f>
        <v>8000000</v>
      </c>
      <c r="O393" s="311"/>
      <c r="P393" s="311"/>
      <c r="Q393" s="311"/>
      <c r="R393" s="91"/>
      <c r="S393" s="68">
        <f t="shared" si="55"/>
        <v>5600000</v>
      </c>
      <c r="T393" s="68"/>
      <c r="U393" s="40">
        <v>2400000</v>
      </c>
      <c r="V393" s="68"/>
      <c r="W393" s="68"/>
      <c r="X393" s="68"/>
      <c r="Y393" s="68"/>
      <c r="Z393" s="68"/>
      <c r="AA393" s="68"/>
      <c r="AB393" s="68"/>
      <c r="AC393" s="68"/>
      <c r="AD393" s="68"/>
      <c r="AE393" s="68"/>
      <c r="AF393" s="68"/>
      <c r="AG393" s="71"/>
      <c r="AH393" s="71"/>
      <c r="AI393" s="66"/>
      <c r="AJ393" s="140">
        <v>50</v>
      </c>
      <c r="AK393" s="135">
        <v>2021</v>
      </c>
      <c r="AL393" s="136">
        <v>8000000</v>
      </c>
      <c r="AM393" s="139"/>
      <c r="AN393" s="66"/>
      <c r="AO393" s="66"/>
      <c r="AP393" s="66"/>
      <c r="AQ393" s="66"/>
      <c r="AR393" s="66"/>
      <c r="AS393" s="66"/>
      <c r="AT393" s="66"/>
      <c r="AU393" s="66"/>
      <c r="AV393" s="66"/>
      <c r="AW393" s="66"/>
      <c r="AX393" s="66"/>
      <c r="AY393" s="66"/>
      <c r="AZ393" s="66"/>
      <c r="BA393" s="66"/>
      <c r="BB393" s="66"/>
      <c r="BC393" s="66"/>
      <c r="BD393" s="66"/>
      <c r="BE393" s="66"/>
      <c r="BF393" s="66"/>
      <c r="BG393" s="66"/>
      <c r="BH393" s="66"/>
      <c r="BI393" s="66"/>
      <c r="BJ393" s="66"/>
      <c r="BK393" s="66"/>
      <c r="BL393" s="66"/>
      <c r="BM393" s="66"/>
      <c r="BN393" s="66"/>
      <c r="BO393" s="66"/>
      <c r="BP393" s="66"/>
      <c r="BQ393" s="66"/>
      <c r="BR393" s="66"/>
      <c r="BS393" s="66"/>
      <c r="BT393" s="66"/>
      <c r="BU393" s="66"/>
      <c r="BV393" s="66"/>
      <c r="BW393" s="66"/>
      <c r="BX393" s="66"/>
      <c r="BY393" s="66"/>
      <c r="BZ393" s="66"/>
      <c r="CA393" s="66"/>
      <c r="CB393" s="66"/>
      <c r="CC393" s="66"/>
      <c r="CD393" s="66"/>
      <c r="CE393" s="66"/>
      <c r="CF393" s="66"/>
      <c r="CG393" s="66"/>
      <c r="CH393" s="66"/>
      <c r="CI393" s="66"/>
      <c r="CJ393" s="66"/>
      <c r="CK393" s="66"/>
      <c r="CL393" s="66"/>
      <c r="CM393" s="66"/>
      <c r="CN393" s="66"/>
      <c r="CO393" s="66"/>
      <c r="CP393" s="66"/>
      <c r="CQ393" s="66"/>
      <c r="CR393" s="66"/>
      <c r="CS393" s="66"/>
      <c r="CT393" s="66"/>
      <c r="CU393" s="66"/>
      <c r="CV393" s="66"/>
      <c r="CW393" s="66"/>
      <c r="CX393" s="66"/>
      <c r="CY393" s="66"/>
      <c r="CZ393" s="66"/>
      <c r="DA393" s="66"/>
      <c r="DB393" s="66"/>
      <c r="DC393" s="66"/>
      <c r="DD393" s="66"/>
      <c r="DE393" s="66"/>
      <c r="DF393" s="66"/>
      <c r="DG393" s="66"/>
      <c r="DH393" s="66"/>
      <c r="DI393" s="66"/>
      <c r="DJ393" s="66"/>
      <c r="DK393" s="66"/>
      <c r="DL393" s="66"/>
      <c r="DM393" s="66"/>
      <c r="DN393" s="66"/>
      <c r="DO393" s="66"/>
      <c r="DP393" s="66"/>
      <c r="DQ393" s="66"/>
      <c r="DR393" s="66"/>
      <c r="DS393" s="66"/>
      <c r="DT393" s="66"/>
      <c r="DU393" s="66"/>
      <c r="DV393" s="66"/>
      <c r="DW393" s="66"/>
      <c r="DX393" s="66"/>
      <c r="DY393" s="66"/>
      <c r="DZ393" s="66"/>
      <c r="EA393" s="66"/>
      <c r="EB393" s="66"/>
      <c r="EC393" s="66"/>
      <c r="ED393" s="66"/>
      <c r="EE393" s="66"/>
      <c r="EF393" s="66"/>
      <c r="EG393" s="66"/>
      <c r="EH393" s="66"/>
      <c r="EI393" s="66"/>
      <c r="EJ393" s="66"/>
      <c r="EK393" s="66"/>
      <c r="EL393" s="66"/>
      <c r="EM393" s="66"/>
      <c r="EN393" s="66"/>
      <c r="EO393" s="66"/>
      <c r="EP393" s="66"/>
      <c r="EQ393" s="66"/>
      <c r="ER393" s="66"/>
      <c r="ES393" s="66"/>
      <c r="ET393" s="66"/>
      <c r="EU393" s="66"/>
      <c r="EV393" s="66"/>
      <c r="EW393" s="66"/>
      <c r="EX393" s="66"/>
      <c r="EY393" s="66"/>
      <c r="EZ393" s="66"/>
      <c r="FA393" s="66"/>
      <c r="FB393" s="66"/>
      <c r="FC393" s="66"/>
      <c r="FD393" s="66"/>
      <c r="FE393" s="66"/>
      <c r="FF393" s="66"/>
      <c r="FG393" s="66"/>
      <c r="FH393" s="66"/>
      <c r="FI393" s="66"/>
      <c r="FJ393" s="66"/>
      <c r="FK393" s="66"/>
      <c r="FL393" s="66"/>
      <c r="FM393" s="66"/>
      <c r="FN393" s="66"/>
      <c r="FO393" s="66"/>
      <c r="FP393" s="66"/>
      <c r="FQ393" s="66"/>
      <c r="FR393" s="66"/>
      <c r="FS393" s="66"/>
      <c r="FT393" s="66"/>
      <c r="FU393" s="66"/>
      <c r="FV393" s="66"/>
      <c r="FW393" s="66"/>
      <c r="FX393" s="66"/>
      <c r="FY393" s="66"/>
      <c r="FZ393" s="66"/>
      <c r="GA393" s="66"/>
      <c r="GB393" s="66"/>
      <c r="GC393" s="66"/>
      <c r="GD393" s="66"/>
      <c r="GE393" s="66"/>
      <c r="GF393" s="66"/>
      <c r="GG393" s="66"/>
      <c r="GH393" s="66"/>
      <c r="GI393" s="66"/>
      <c r="GJ393" s="66"/>
      <c r="GK393" s="66"/>
      <c r="GL393" s="66"/>
      <c r="GM393" s="66"/>
      <c r="GN393" s="66"/>
      <c r="GO393" s="66"/>
      <c r="GP393" s="66"/>
      <c r="GQ393" s="66"/>
      <c r="GR393" s="66"/>
      <c r="GS393" s="66"/>
      <c r="GT393" s="66"/>
      <c r="GU393" s="66"/>
      <c r="GV393" s="66"/>
      <c r="GW393" s="66"/>
      <c r="GX393" s="66"/>
      <c r="GY393" s="66"/>
      <c r="GZ393" s="66"/>
      <c r="HA393" s="66"/>
      <c r="HB393" s="66"/>
      <c r="HC393" s="66"/>
      <c r="HD393" s="66"/>
      <c r="HE393" s="66"/>
      <c r="HF393" s="66"/>
      <c r="HG393" s="66"/>
      <c r="HH393" s="66"/>
      <c r="HI393" s="66"/>
      <c r="HJ393" s="66"/>
      <c r="HK393" s="66"/>
      <c r="HL393" s="66"/>
      <c r="HM393" s="66"/>
      <c r="HN393" s="66"/>
      <c r="HO393" s="66"/>
      <c r="HP393" s="66"/>
      <c r="HQ393" s="66"/>
      <c r="HR393" s="66"/>
      <c r="HS393" s="66"/>
      <c r="HT393" s="66"/>
      <c r="HU393" s="66"/>
      <c r="HV393" s="66"/>
      <c r="HW393" s="66"/>
      <c r="HX393" s="66"/>
      <c r="HY393" s="66"/>
      <c r="HZ393" s="66"/>
      <c r="IA393" s="66"/>
      <c r="IB393" s="66"/>
      <c r="IC393" s="66"/>
      <c r="ID393" s="66"/>
      <c r="IE393" s="66"/>
      <c r="IF393" s="66"/>
      <c r="IG393" s="66"/>
      <c r="IH393" s="66"/>
      <c r="II393" s="66"/>
      <c r="IJ393" s="66"/>
      <c r="IK393" s="66"/>
      <c r="IL393" s="66"/>
      <c r="IM393" s="66"/>
      <c r="IN393" s="66"/>
      <c r="IO393" s="66"/>
      <c r="IP393" s="66"/>
      <c r="IQ393" s="66"/>
      <c r="IR393" s="66"/>
      <c r="IS393" s="66"/>
      <c r="IT393" s="66"/>
      <c r="IU393" s="66"/>
      <c r="IV393" s="66"/>
      <c r="IW393" s="66"/>
      <c r="IX393" s="66"/>
      <c r="IY393" s="66"/>
      <c r="IZ393" s="66"/>
      <c r="JA393" s="66"/>
      <c r="JB393" s="66"/>
      <c r="JC393" s="66"/>
      <c r="JD393" s="66"/>
      <c r="JE393" s="66"/>
      <c r="JF393" s="66"/>
      <c r="JG393" s="66"/>
      <c r="JH393" s="66"/>
      <c r="JI393" s="66"/>
      <c r="JJ393" s="66"/>
      <c r="JK393" s="66"/>
      <c r="JL393" s="66"/>
      <c r="JM393" s="66"/>
      <c r="JN393" s="66"/>
      <c r="JO393" s="66"/>
      <c r="JP393" s="66"/>
      <c r="JQ393" s="66"/>
      <c r="JR393" s="66"/>
      <c r="JS393" s="66"/>
      <c r="JT393" s="66"/>
      <c r="JU393" s="66"/>
      <c r="JV393" s="66"/>
      <c r="JW393" s="66"/>
      <c r="JX393" s="66"/>
      <c r="JY393" s="66"/>
      <c r="JZ393" s="66"/>
      <c r="KA393" s="66"/>
      <c r="KB393" s="66"/>
      <c r="KC393" s="66"/>
      <c r="KD393" s="66"/>
      <c r="KE393" s="66"/>
      <c r="KF393" s="66"/>
      <c r="KG393" s="66"/>
      <c r="KH393" s="66"/>
      <c r="KI393" s="66"/>
      <c r="KJ393" s="66"/>
      <c r="KK393" s="66"/>
      <c r="KL393" s="66"/>
      <c r="KM393" s="66"/>
      <c r="KN393" s="66"/>
      <c r="KO393" s="66"/>
      <c r="KP393" s="66"/>
      <c r="KQ393" s="66"/>
      <c r="KR393" s="66"/>
      <c r="KS393" s="66"/>
      <c r="KT393" s="66"/>
      <c r="KU393" s="66"/>
      <c r="KV393" s="66"/>
      <c r="KW393" s="66"/>
      <c r="KX393" s="66"/>
      <c r="KY393" s="66"/>
      <c r="KZ393" s="66"/>
      <c r="LA393" s="66"/>
      <c r="LB393" s="66"/>
      <c r="LC393" s="66"/>
      <c r="LD393" s="66"/>
      <c r="LE393" s="66"/>
      <c r="LF393" s="66"/>
      <c r="LG393" s="66"/>
      <c r="LH393" s="66"/>
      <c r="LI393" s="66"/>
      <c r="LJ393" s="66"/>
      <c r="LK393" s="66"/>
      <c r="LL393" s="66"/>
      <c r="LM393" s="66"/>
      <c r="LN393" s="66"/>
      <c r="LO393" s="66"/>
      <c r="LP393" s="66"/>
      <c r="LQ393" s="66"/>
      <c r="LR393" s="66"/>
      <c r="LS393" s="66"/>
      <c r="LT393" s="66"/>
      <c r="LU393" s="66"/>
      <c r="LV393" s="66"/>
      <c r="LW393" s="66"/>
      <c r="LX393" s="66"/>
      <c r="LY393" s="66"/>
      <c r="LZ393" s="66"/>
      <c r="MA393" s="66"/>
      <c r="MB393" s="66"/>
      <c r="MC393" s="66"/>
      <c r="MD393" s="66"/>
      <c r="ME393" s="66"/>
      <c r="MF393" s="66"/>
      <c r="MG393" s="66"/>
      <c r="MH393" s="66"/>
      <c r="MI393" s="66"/>
      <c r="MJ393" s="66"/>
      <c r="MK393" s="66"/>
      <c r="ML393" s="66"/>
      <c r="MM393" s="66"/>
      <c r="MN393" s="66"/>
      <c r="MO393" s="66"/>
      <c r="MP393" s="66"/>
      <c r="MQ393" s="66"/>
      <c r="MR393" s="66"/>
      <c r="MS393" s="66"/>
      <c r="MT393" s="66"/>
      <c r="MU393" s="66"/>
      <c r="MV393" s="66"/>
      <c r="MW393" s="66"/>
      <c r="MX393" s="66"/>
      <c r="MY393" s="66"/>
      <c r="MZ393" s="66"/>
      <c r="NA393" s="66"/>
      <c r="NB393" s="66"/>
      <c r="NC393" s="66"/>
      <c r="ND393" s="66"/>
      <c r="NE393" s="66"/>
      <c r="NF393" s="66"/>
      <c r="NG393" s="66"/>
      <c r="NH393" s="66"/>
      <c r="NI393" s="66"/>
      <c r="NJ393" s="66"/>
      <c r="NK393" s="66"/>
      <c r="NL393" s="66"/>
      <c r="NM393" s="66"/>
      <c r="NN393" s="66"/>
      <c r="NO393" s="66"/>
      <c r="NP393" s="66"/>
      <c r="NQ393" s="66"/>
      <c r="NR393" s="66"/>
      <c r="NS393" s="66"/>
      <c r="NT393" s="66"/>
      <c r="NU393" s="66"/>
      <c r="NV393" s="66"/>
      <c r="NW393" s="66"/>
      <c r="NX393" s="66"/>
      <c r="NY393" s="66"/>
      <c r="NZ393" s="66"/>
      <c r="OA393" s="66"/>
      <c r="OB393" s="66"/>
      <c r="OC393" s="66"/>
      <c r="OD393" s="66"/>
      <c r="OE393" s="66"/>
      <c r="OF393" s="66"/>
      <c r="OG393" s="66"/>
      <c r="OH393" s="66"/>
      <c r="OI393" s="66"/>
      <c r="OJ393" s="66"/>
      <c r="OK393" s="66"/>
      <c r="OL393" s="66"/>
      <c r="OM393" s="66"/>
      <c r="ON393" s="66"/>
      <c r="OO393" s="66"/>
      <c r="OP393" s="66"/>
      <c r="OQ393" s="66"/>
      <c r="OR393" s="66"/>
      <c r="OS393" s="66"/>
      <c r="OT393" s="66"/>
      <c r="OU393" s="66"/>
      <c r="OV393" s="66"/>
      <c r="OW393" s="66"/>
      <c r="OX393" s="66"/>
      <c r="OY393" s="66"/>
      <c r="OZ393" s="66"/>
      <c r="PA393" s="66"/>
      <c r="PB393" s="66"/>
      <c r="PC393" s="66"/>
      <c r="PD393" s="66"/>
      <c r="PE393" s="66"/>
      <c r="PF393" s="66"/>
      <c r="PG393" s="66"/>
      <c r="PH393" s="66"/>
      <c r="PI393" s="66"/>
      <c r="PJ393" s="66"/>
      <c r="PK393" s="66"/>
      <c r="PL393" s="66"/>
      <c r="PM393" s="66"/>
      <c r="PN393" s="66"/>
      <c r="PO393" s="66"/>
      <c r="PP393" s="66"/>
      <c r="PQ393" s="66"/>
      <c r="PR393" s="66"/>
      <c r="PS393" s="66"/>
      <c r="PT393" s="66"/>
      <c r="PU393" s="66"/>
      <c r="PV393" s="66"/>
      <c r="PW393" s="66"/>
      <c r="PX393" s="66"/>
      <c r="PY393" s="66"/>
      <c r="PZ393" s="66"/>
      <c r="QA393" s="66"/>
      <c r="QB393" s="66"/>
      <c r="QC393" s="66"/>
      <c r="QD393" s="66"/>
      <c r="QE393" s="66"/>
      <c r="QF393" s="66"/>
      <c r="QG393" s="66"/>
      <c r="QH393" s="66"/>
      <c r="QI393" s="66"/>
      <c r="QJ393" s="66"/>
      <c r="QK393" s="66"/>
      <c r="QL393" s="66"/>
      <c r="QM393" s="66"/>
      <c r="QN393" s="66"/>
      <c r="QO393" s="66"/>
      <c r="QP393" s="66"/>
      <c r="QQ393" s="66"/>
      <c r="QR393" s="66"/>
      <c r="QS393" s="66"/>
      <c r="QT393" s="66"/>
      <c r="QU393" s="66"/>
      <c r="QV393" s="66"/>
      <c r="QW393" s="66"/>
      <c r="QX393" s="66"/>
      <c r="QY393" s="66"/>
      <c r="QZ393" s="66"/>
      <c r="RA393" s="66"/>
      <c r="RB393" s="66"/>
      <c r="RC393" s="66"/>
      <c r="RD393" s="66"/>
      <c r="RE393" s="66"/>
      <c r="RF393" s="66"/>
      <c r="RG393" s="66"/>
      <c r="RH393" s="66"/>
      <c r="RI393" s="66"/>
      <c r="RJ393" s="66"/>
      <c r="RK393" s="66"/>
      <c r="RL393" s="66"/>
      <c r="RM393" s="66"/>
      <c r="RN393" s="66"/>
      <c r="RO393" s="66"/>
      <c r="RP393" s="66"/>
      <c r="RQ393" s="66"/>
      <c r="RR393" s="66"/>
      <c r="RS393" s="66"/>
      <c r="RT393" s="66"/>
      <c r="RU393" s="66"/>
      <c r="RV393" s="66"/>
      <c r="RW393" s="66"/>
      <c r="RX393" s="66"/>
      <c r="RY393" s="66"/>
      <c r="RZ393" s="66"/>
      <c r="SA393" s="66"/>
      <c r="SB393" s="66"/>
      <c r="SC393" s="66"/>
      <c r="SD393" s="66"/>
      <c r="SE393" s="66"/>
      <c r="SF393" s="66"/>
      <c r="SG393" s="66"/>
      <c r="SH393" s="66"/>
      <c r="SI393" s="66"/>
      <c r="SJ393" s="66"/>
      <c r="SK393" s="66"/>
      <c r="SL393" s="66"/>
      <c r="SM393" s="66"/>
      <c r="SN393" s="66"/>
      <c r="SO393" s="66"/>
      <c r="SP393" s="66"/>
      <c r="SQ393" s="66"/>
      <c r="SR393" s="66"/>
      <c r="SS393" s="66"/>
      <c r="ST393" s="66"/>
      <c r="SU393" s="66"/>
      <c r="SV393" s="66"/>
      <c r="SW393" s="66"/>
      <c r="SX393" s="66"/>
      <c r="SY393" s="66"/>
      <c r="SZ393" s="66"/>
      <c r="TA393" s="66"/>
      <c r="TB393" s="66"/>
      <c r="TC393" s="66"/>
      <c r="TD393" s="66"/>
      <c r="TE393" s="66"/>
      <c r="TF393" s="66"/>
      <c r="TG393" s="66"/>
      <c r="TH393" s="66"/>
      <c r="TI393" s="66"/>
      <c r="TJ393" s="66"/>
      <c r="TK393" s="66"/>
      <c r="TL393" s="66"/>
      <c r="TM393" s="66"/>
      <c r="TN393" s="66"/>
      <c r="TO393" s="66"/>
      <c r="TP393" s="66"/>
      <c r="TQ393" s="66"/>
      <c r="TR393" s="66"/>
      <c r="TS393" s="66"/>
      <c r="TT393" s="66"/>
      <c r="TU393" s="66"/>
      <c r="TV393" s="66"/>
      <c r="TW393" s="66"/>
      <c r="TX393" s="66"/>
      <c r="TY393" s="66"/>
      <c r="TZ393" s="66"/>
      <c r="UA393" s="66"/>
      <c r="UB393" s="66"/>
      <c r="UC393" s="66"/>
      <c r="UD393" s="66"/>
      <c r="UE393" s="66"/>
      <c r="UF393" s="66"/>
      <c r="UG393" s="66"/>
      <c r="UH393" s="66"/>
      <c r="UI393" s="66"/>
      <c r="UJ393" s="66"/>
      <c r="UK393" s="66"/>
      <c r="UL393" s="66"/>
      <c r="UM393" s="66"/>
      <c r="UN393" s="66"/>
      <c r="UO393" s="66"/>
      <c r="UP393" s="66"/>
      <c r="UQ393" s="66"/>
      <c r="UR393" s="66"/>
      <c r="US393" s="66"/>
      <c r="UT393" s="66"/>
      <c r="UU393" s="66"/>
      <c r="UV393" s="66"/>
      <c r="UW393" s="66"/>
      <c r="UX393" s="66"/>
      <c r="UY393" s="66"/>
      <c r="UZ393" s="66"/>
      <c r="VA393" s="66"/>
      <c r="VB393" s="66"/>
      <c r="VC393" s="66"/>
      <c r="VD393" s="66"/>
      <c r="VE393" s="66"/>
      <c r="VF393" s="66"/>
      <c r="VG393" s="66"/>
      <c r="VH393" s="66"/>
      <c r="VI393" s="66"/>
      <c r="VJ393" s="66"/>
      <c r="VK393" s="66"/>
      <c r="VL393" s="66"/>
      <c r="VM393" s="66"/>
      <c r="VN393" s="66"/>
      <c r="VO393" s="66"/>
      <c r="VP393" s="66"/>
      <c r="VQ393" s="66"/>
      <c r="VR393" s="66"/>
      <c r="VS393" s="66"/>
      <c r="VT393" s="66"/>
      <c r="VU393" s="66"/>
      <c r="VV393" s="66"/>
      <c r="VW393" s="66"/>
      <c r="VX393" s="66"/>
      <c r="VY393" s="66"/>
      <c r="VZ393" s="66"/>
      <c r="WA393" s="66"/>
      <c r="WB393" s="66"/>
      <c r="WC393" s="66"/>
      <c r="WD393" s="66"/>
      <c r="WE393" s="66"/>
      <c r="WF393" s="66"/>
      <c r="WG393" s="66"/>
      <c r="WH393" s="66"/>
      <c r="WI393" s="66"/>
      <c r="WJ393" s="66"/>
      <c r="WK393" s="66"/>
      <c r="WL393" s="66"/>
      <c r="WM393" s="66"/>
      <c r="WN393" s="66"/>
      <c r="WO393" s="66"/>
      <c r="WP393" s="66"/>
      <c r="WQ393" s="66"/>
      <c r="WR393" s="66"/>
      <c r="WS393" s="66"/>
      <c r="WT393" s="66"/>
      <c r="WU393" s="66"/>
      <c r="WV393" s="66"/>
      <c r="WW393" s="66"/>
      <c r="WX393" s="66"/>
      <c r="WY393" s="66"/>
      <c r="WZ393" s="66"/>
      <c r="XA393" s="66"/>
      <c r="XB393" s="66"/>
      <c r="XC393" s="66"/>
      <c r="XD393" s="66"/>
      <c r="XE393" s="66"/>
      <c r="XF393" s="66"/>
      <c r="XG393" s="66"/>
      <c r="XH393" s="66"/>
      <c r="XI393" s="66"/>
      <c r="XJ393" s="66"/>
      <c r="XK393" s="66"/>
      <c r="XL393" s="66"/>
      <c r="XM393" s="66"/>
      <c r="XN393" s="66"/>
      <c r="XO393" s="66"/>
      <c r="XP393" s="66"/>
      <c r="XQ393" s="66"/>
      <c r="XR393" s="66"/>
      <c r="XS393" s="66"/>
      <c r="XT393" s="66"/>
      <c r="XU393" s="66"/>
      <c r="XV393" s="66"/>
      <c r="XW393" s="66"/>
      <c r="XX393" s="66"/>
      <c r="XY393" s="66"/>
      <c r="XZ393" s="66"/>
      <c r="YA393" s="66"/>
      <c r="YB393" s="66"/>
      <c r="YC393" s="66"/>
      <c r="YD393" s="66"/>
      <c r="YE393" s="66"/>
      <c r="YF393" s="66"/>
      <c r="YG393" s="66"/>
      <c r="YH393" s="66"/>
      <c r="YI393" s="66"/>
      <c r="YJ393" s="66"/>
      <c r="YK393" s="66"/>
      <c r="YL393" s="66"/>
      <c r="YM393" s="66"/>
      <c r="YN393" s="66"/>
      <c r="YO393" s="66"/>
      <c r="YP393" s="66"/>
      <c r="YQ393" s="66"/>
      <c r="YR393" s="66"/>
      <c r="YS393" s="66"/>
      <c r="YT393" s="66"/>
      <c r="YU393" s="66"/>
      <c r="YV393" s="66"/>
      <c r="YW393" s="66"/>
      <c r="YX393" s="66"/>
      <c r="YY393" s="66"/>
      <c r="YZ393" s="66"/>
      <c r="ZA393" s="66"/>
      <c r="ZB393" s="66"/>
      <c r="ZC393" s="66"/>
      <c r="ZD393" s="66"/>
      <c r="ZE393" s="66"/>
      <c r="ZF393" s="66"/>
      <c r="ZG393" s="66"/>
      <c r="ZH393" s="66"/>
      <c r="ZI393" s="66"/>
      <c r="ZJ393" s="66"/>
      <c r="ZK393" s="66"/>
      <c r="ZL393" s="66"/>
      <c r="ZM393" s="66"/>
      <c r="ZN393" s="66"/>
      <c r="ZO393" s="66"/>
      <c r="ZP393" s="66"/>
      <c r="ZQ393" s="66"/>
      <c r="ZR393" s="66"/>
      <c r="ZS393" s="66"/>
      <c r="ZT393" s="66"/>
      <c r="ZU393" s="66"/>
      <c r="ZV393" s="66"/>
      <c r="ZW393" s="66"/>
      <c r="ZX393" s="66"/>
      <c r="ZY393" s="66"/>
      <c r="ZZ393" s="66"/>
      <c r="AAA393" s="66"/>
      <c r="AAB393" s="66"/>
      <c r="AAC393" s="66"/>
      <c r="AAD393" s="66"/>
      <c r="AAE393" s="66"/>
      <c r="AAF393" s="66"/>
      <c r="AAG393" s="66"/>
      <c r="AAH393" s="66"/>
      <c r="AAI393" s="66"/>
      <c r="AAJ393" s="66"/>
      <c r="AAK393" s="66"/>
      <c r="AAL393" s="66"/>
      <c r="AAM393" s="66"/>
      <c r="AAN393" s="66"/>
      <c r="AAO393" s="66"/>
      <c r="AAP393" s="66"/>
      <c r="AAQ393" s="66"/>
      <c r="AAR393" s="66"/>
      <c r="AAS393" s="66"/>
      <c r="AAT393" s="66"/>
      <c r="AAU393" s="66"/>
      <c r="AAV393" s="66"/>
      <c r="AAW393" s="66"/>
      <c r="AAX393" s="66"/>
      <c r="AAY393" s="66"/>
      <c r="AAZ393" s="66"/>
      <c r="ABA393" s="66"/>
      <c r="ABB393" s="66"/>
      <c r="ABC393" s="66"/>
      <c r="ABD393" s="66"/>
      <c r="ABE393" s="66"/>
      <c r="ABF393" s="66"/>
      <c r="ABG393" s="66"/>
      <c r="ABH393" s="66"/>
      <c r="ABI393" s="66"/>
      <c r="ABJ393" s="66"/>
      <c r="ABK393" s="66"/>
      <c r="ABL393" s="66"/>
      <c r="ABM393" s="66"/>
      <c r="ABN393" s="66"/>
      <c r="ABO393" s="66"/>
      <c r="ABP393" s="66"/>
      <c r="ABQ393" s="66"/>
      <c r="ABR393" s="66"/>
      <c r="ABS393" s="66"/>
      <c r="ABT393" s="66"/>
      <c r="ABU393" s="66"/>
      <c r="ABV393" s="66"/>
      <c r="ABW393" s="66"/>
      <c r="ABX393" s="66"/>
      <c r="ABY393" s="66"/>
      <c r="ABZ393" s="66"/>
      <c r="ACA393" s="66"/>
      <c r="ACB393" s="66"/>
      <c r="ACC393" s="66"/>
      <c r="ACD393" s="66"/>
      <c r="ACE393" s="66"/>
      <c r="ACF393" s="66"/>
      <c r="ACG393" s="66"/>
      <c r="ACH393" s="66"/>
      <c r="ACI393" s="66"/>
      <c r="ACJ393" s="66"/>
      <c r="ACK393" s="66"/>
      <c r="ACL393" s="66"/>
      <c r="ACM393" s="66"/>
      <c r="ACN393" s="66"/>
      <c r="ACO393" s="66"/>
      <c r="ACP393" s="66"/>
      <c r="ACQ393" s="66"/>
      <c r="ACR393" s="66"/>
      <c r="ACS393" s="66"/>
      <c r="ACT393" s="66"/>
      <c r="ACU393" s="66"/>
      <c r="ACV393" s="66"/>
      <c r="ACW393" s="66"/>
      <c r="ACX393" s="66"/>
      <c r="ACY393" s="66"/>
      <c r="ACZ393" s="66"/>
      <c r="ADA393" s="66"/>
      <c r="ADB393" s="66"/>
      <c r="ADC393" s="66"/>
      <c r="ADD393" s="66"/>
      <c r="ADE393" s="66"/>
      <c r="ADF393" s="66"/>
      <c r="ADG393" s="66"/>
      <c r="ADH393" s="66"/>
      <c r="ADI393" s="66"/>
      <c r="ADJ393" s="66"/>
      <c r="ADK393" s="66"/>
      <c r="ADL393" s="66"/>
      <c r="ADM393" s="66"/>
      <c r="ADN393" s="66"/>
      <c r="ADO393" s="66"/>
      <c r="ADP393" s="66"/>
      <c r="ADQ393" s="66"/>
      <c r="ADR393" s="66"/>
      <c r="ADS393" s="66"/>
      <c r="ADT393" s="66"/>
      <c r="ADU393" s="66"/>
      <c r="ADV393" s="66"/>
      <c r="ADW393" s="66"/>
      <c r="ADX393" s="66"/>
      <c r="ADY393" s="66"/>
      <c r="ADZ393" s="66"/>
      <c r="AEA393" s="66"/>
      <c r="AEB393" s="66"/>
      <c r="AEC393" s="66"/>
      <c r="AED393" s="66"/>
      <c r="AEE393" s="66"/>
      <c r="AEF393" s="66"/>
      <c r="AEG393" s="66"/>
      <c r="AEH393" s="66"/>
      <c r="AEI393" s="66"/>
      <c r="AEJ393" s="66"/>
      <c r="AEK393" s="66"/>
      <c r="AEL393" s="66"/>
      <c r="AEM393" s="66"/>
      <c r="AEN393" s="66"/>
      <c r="AEO393" s="66"/>
      <c r="AEP393" s="66"/>
      <c r="AEQ393" s="66"/>
      <c r="AER393" s="66"/>
      <c r="AES393" s="66"/>
      <c r="AET393" s="66"/>
      <c r="AEU393" s="66"/>
      <c r="AEV393" s="66"/>
      <c r="AEW393" s="66"/>
      <c r="AEX393" s="66"/>
      <c r="AEY393" s="66"/>
      <c r="AEZ393" s="66"/>
      <c r="AFA393" s="66"/>
      <c r="AFB393" s="66"/>
      <c r="AFC393" s="66"/>
      <c r="AFD393" s="66"/>
      <c r="AFE393" s="66"/>
      <c r="AFF393" s="66"/>
      <c r="AFG393" s="66"/>
      <c r="AFH393" s="66"/>
      <c r="AFI393" s="66"/>
      <c r="AFJ393" s="66"/>
      <c r="AFK393" s="66"/>
      <c r="AFL393" s="66"/>
      <c r="AFM393" s="66"/>
      <c r="AFN393" s="66"/>
      <c r="AFO393" s="66"/>
      <c r="AFP393" s="66"/>
      <c r="AFQ393" s="66"/>
      <c r="AFR393" s="66"/>
      <c r="AFS393" s="66"/>
      <c r="AFT393" s="66"/>
      <c r="AFU393" s="66"/>
      <c r="AFV393" s="66"/>
      <c r="AFW393" s="66"/>
      <c r="AFX393" s="66"/>
      <c r="AFY393" s="66"/>
      <c r="AFZ393" s="66"/>
      <c r="AGA393" s="66"/>
      <c r="AGB393" s="66"/>
      <c r="AGC393" s="66"/>
      <c r="AGD393" s="66"/>
      <c r="AGE393" s="66"/>
      <c r="AGF393" s="66"/>
      <c r="AGG393" s="66"/>
      <c r="AGH393" s="66"/>
      <c r="AGI393" s="66"/>
      <c r="AGJ393" s="66"/>
      <c r="AGK393" s="66"/>
      <c r="AGL393" s="66"/>
      <c r="AGM393" s="66"/>
      <c r="AGN393" s="66"/>
      <c r="AGO393" s="66"/>
      <c r="AGP393" s="66"/>
      <c r="AGQ393" s="66"/>
      <c r="AGR393" s="66"/>
      <c r="AGS393" s="66"/>
      <c r="AGT393" s="66"/>
      <c r="AGU393" s="66"/>
      <c r="AGV393" s="66"/>
      <c r="AGW393" s="66"/>
      <c r="AGX393" s="66"/>
      <c r="AGY393" s="66"/>
      <c r="AGZ393" s="66"/>
      <c r="AHA393" s="66"/>
      <c r="AHB393" s="66"/>
      <c r="AHC393" s="66"/>
      <c r="AHD393" s="66"/>
      <c r="AHE393" s="66"/>
      <c r="AHF393" s="66"/>
      <c r="AHG393" s="66"/>
      <c r="AHH393" s="66"/>
      <c r="AHI393" s="66"/>
      <c r="AHJ393" s="66"/>
      <c r="AHK393" s="66"/>
      <c r="AHL393" s="66"/>
      <c r="AHM393" s="66"/>
      <c r="AHN393" s="66"/>
      <c r="AHO393" s="66"/>
      <c r="AHP393" s="66"/>
      <c r="AHQ393" s="66"/>
      <c r="AHR393" s="66"/>
      <c r="AHS393" s="66"/>
      <c r="AHT393" s="66"/>
      <c r="AHU393" s="66"/>
      <c r="AHV393" s="66"/>
      <c r="AHW393" s="66"/>
      <c r="AHX393" s="66"/>
      <c r="AHY393" s="66"/>
      <c r="AHZ393" s="66"/>
      <c r="AIA393" s="66"/>
      <c r="AIB393" s="66"/>
      <c r="AIC393" s="66"/>
      <c r="AID393" s="66"/>
      <c r="AIE393" s="66"/>
      <c r="AIF393" s="66"/>
      <c r="AIG393" s="66"/>
      <c r="AIH393" s="66"/>
      <c r="AII393" s="66"/>
      <c r="AIJ393" s="66"/>
      <c r="AIK393" s="66"/>
      <c r="AIL393" s="66"/>
      <c r="AIM393" s="66"/>
      <c r="AIN393" s="66"/>
      <c r="AIO393" s="66"/>
      <c r="AIP393" s="66"/>
      <c r="AIQ393" s="66"/>
      <c r="AIR393" s="66"/>
      <c r="AIS393" s="66"/>
      <c r="AIT393" s="66"/>
      <c r="AIU393" s="66"/>
      <c r="AIV393" s="66"/>
      <c r="AIW393" s="66"/>
      <c r="AIX393" s="66"/>
      <c r="AIY393" s="66"/>
      <c r="AIZ393" s="66"/>
      <c r="AJA393" s="66"/>
      <c r="AJB393" s="66"/>
      <c r="AJC393" s="66"/>
      <c r="AJD393" s="66"/>
      <c r="AJE393" s="66"/>
      <c r="AJF393" s="66"/>
      <c r="AJG393" s="66"/>
      <c r="AJH393" s="66"/>
      <c r="AJI393" s="66"/>
      <c r="AJJ393" s="66"/>
      <c r="AJK393" s="66"/>
      <c r="AJL393" s="66"/>
      <c r="AJM393" s="66"/>
      <c r="AJN393" s="66"/>
      <c r="AJO393" s="66"/>
      <c r="AJP393" s="66"/>
      <c r="AJQ393" s="66"/>
      <c r="AJR393" s="66"/>
      <c r="AJS393" s="66"/>
      <c r="AJT393" s="66"/>
      <c r="AJU393" s="66"/>
      <c r="AJV393" s="66"/>
      <c r="AJW393" s="66"/>
      <c r="AJX393" s="66"/>
      <c r="AJY393" s="66"/>
      <c r="AJZ393" s="66"/>
      <c r="AKA393" s="66"/>
      <c r="AKB393" s="66"/>
      <c r="AKC393" s="66"/>
      <c r="AKD393" s="66"/>
      <c r="AKE393" s="66"/>
      <c r="AKF393" s="66"/>
      <c r="AKG393" s="66"/>
      <c r="AKH393" s="66"/>
      <c r="AKI393" s="66"/>
      <c r="AKJ393" s="66"/>
      <c r="AKK393" s="66"/>
      <c r="AKL393" s="66"/>
      <c r="AKM393" s="66"/>
      <c r="AKN393" s="66"/>
      <c r="AKO393" s="66"/>
      <c r="AKP393" s="66"/>
      <c r="AKQ393" s="66"/>
      <c r="AKR393" s="66"/>
      <c r="AKS393" s="66"/>
      <c r="AKT393" s="66"/>
      <c r="AKU393" s="66"/>
      <c r="AKV393" s="66"/>
      <c r="AKW393" s="66"/>
      <c r="AKX393" s="66"/>
      <c r="AKY393" s="66"/>
      <c r="AKZ393" s="66"/>
      <c r="ALA393" s="66"/>
      <c r="ALB393" s="66"/>
      <c r="ALC393" s="66"/>
      <c r="ALD393" s="66"/>
      <c r="ALE393" s="66"/>
      <c r="ALF393" s="66"/>
      <c r="ALG393" s="66"/>
      <c r="ALH393" s="66"/>
      <c r="ALI393" s="66"/>
      <c r="ALJ393" s="66"/>
      <c r="ALK393" s="66"/>
      <c r="ALL393" s="66"/>
      <c r="ALM393" s="66"/>
      <c r="ALN393" s="66"/>
      <c r="ALO393" s="66"/>
      <c r="ALP393" s="66"/>
      <c r="ALQ393" s="66"/>
      <c r="ALR393" s="66"/>
      <c r="ALS393" s="66"/>
      <c r="ALT393" s="66"/>
      <c r="ALU393" s="66"/>
      <c r="ALV393" s="66"/>
      <c r="ALW393" s="66"/>
      <c r="ALX393" s="66"/>
      <c r="ALY393" s="66"/>
      <c r="ALZ393" s="66"/>
      <c r="AMA393" s="66"/>
      <c r="AMB393" s="66"/>
      <c r="AMC393" s="66"/>
      <c r="AMD393" s="66"/>
      <c r="AME393" s="66"/>
      <c r="AMF393" s="66"/>
      <c r="AMG393" s="66"/>
      <c r="AMH393" s="66"/>
      <c r="AMI393" s="66"/>
      <c r="AMJ393" s="66"/>
      <c r="AMK393" s="66"/>
      <c r="AML393" s="66"/>
      <c r="AMM393" s="66"/>
      <c r="AMN393" s="66"/>
      <c r="AMO393" s="66"/>
      <c r="AMP393" s="66"/>
      <c r="AMQ393" s="66"/>
      <c r="AMR393" s="66"/>
      <c r="AMS393" s="66"/>
      <c r="AMT393" s="66"/>
      <c r="AMU393" s="66"/>
      <c r="AMV393" s="66"/>
      <c r="AMW393" s="66"/>
      <c r="AMX393" s="66"/>
      <c r="AMY393" s="66"/>
      <c r="AMZ393" s="66"/>
      <c r="ANA393" s="66"/>
      <c r="ANB393" s="66"/>
      <c r="ANC393" s="66"/>
      <c r="AND393" s="66"/>
      <c r="ANE393" s="66"/>
      <c r="ANF393" s="66"/>
      <c r="ANG393" s="66"/>
      <c r="ANH393" s="66"/>
      <c r="ANI393" s="66"/>
      <c r="ANJ393" s="66"/>
      <c r="ANK393" s="66"/>
      <c r="ANL393" s="66"/>
      <c r="ANM393" s="66"/>
      <c r="ANN393" s="66"/>
      <c r="ANO393" s="66"/>
      <c r="ANP393" s="66"/>
      <c r="ANQ393" s="66"/>
      <c r="ANR393" s="66"/>
      <c r="ANS393" s="66"/>
      <c r="ANT393" s="66"/>
      <c r="ANU393" s="66"/>
      <c r="ANV393" s="66"/>
      <c r="ANW393" s="66"/>
      <c r="ANX393" s="66"/>
      <c r="ANY393" s="66"/>
      <c r="ANZ393" s="66"/>
      <c r="AOA393" s="66"/>
      <c r="AOB393" s="66"/>
      <c r="AOC393" s="66"/>
      <c r="AOD393" s="66"/>
      <c r="AOE393" s="66"/>
      <c r="AOF393" s="66"/>
      <c r="AOG393" s="66"/>
      <c r="AOH393" s="66"/>
      <c r="AOI393" s="66"/>
      <c r="AOJ393" s="66"/>
      <c r="AOK393" s="66"/>
      <c r="AOL393" s="66"/>
      <c r="AOM393" s="66"/>
      <c r="AON393" s="66"/>
      <c r="AOO393" s="66"/>
      <c r="AOP393" s="66"/>
      <c r="AOQ393" s="66"/>
      <c r="AOR393" s="66"/>
      <c r="AOS393" s="66"/>
      <c r="AOT393" s="66"/>
      <c r="AOU393" s="66"/>
      <c r="AOV393" s="66"/>
      <c r="AOW393" s="66"/>
      <c r="AOX393" s="66"/>
      <c r="AOY393" s="66"/>
      <c r="AOZ393" s="66"/>
      <c r="APA393" s="66"/>
      <c r="APB393" s="66"/>
      <c r="APC393" s="66"/>
      <c r="APD393" s="66"/>
      <c r="APE393" s="66"/>
      <c r="APF393" s="66"/>
      <c r="APG393" s="66"/>
      <c r="APH393" s="66"/>
      <c r="API393" s="66"/>
      <c r="APJ393" s="66"/>
      <c r="APK393" s="66"/>
      <c r="APL393" s="66"/>
      <c r="APM393" s="66"/>
      <c r="APN393" s="66"/>
      <c r="APO393" s="66"/>
      <c r="APP393" s="66"/>
      <c r="APQ393" s="66"/>
      <c r="APR393" s="66"/>
      <c r="APS393" s="66"/>
      <c r="APT393" s="66"/>
      <c r="APU393" s="66"/>
      <c r="APV393" s="66"/>
      <c r="APW393" s="66"/>
      <c r="APX393" s="66"/>
      <c r="APY393" s="66"/>
      <c r="APZ393" s="66"/>
      <c r="AQA393" s="66"/>
      <c r="AQB393" s="66"/>
      <c r="AQC393" s="66"/>
      <c r="AQD393" s="66"/>
      <c r="AQE393" s="66"/>
      <c r="AQF393" s="66"/>
      <c r="AQG393" s="66"/>
      <c r="AQH393" s="66"/>
      <c r="AQI393" s="66"/>
      <c r="AQJ393" s="66"/>
      <c r="AQK393" s="66"/>
      <c r="AQL393" s="66"/>
      <c r="AQM393" s="66"/>
      <c r="AQN393" s="66"/>
      <c r="AQO393" s="66"/>
      <c r="AQP393" s="66"/>
      <c r="AQQ393" s="66"/>
      <c r="AQR393" s="66"/>
      <c r="AQS393" s="66"/>
      <c r="AQT393" s="66"/>
      <c r="AQU393" s="66"/>
      <c r="AQV393" s="66"/>
      <c r="AQW393" s="66"/>
      <c r="AQX393" s="66"/>
      <c r="AQY393" s="66"/>
      <c r="AQZ393" s="66"/>
      <c r="ARA393" s="66"/>
      <c r="ARB393" s="66"/>
      <c r="ARC393" s="66"/>
      <c r="ARD393" s="66"/>
      <c r="ARE393" s="66"/>
      <c r="ARF393" s="66"/>
      <c r="ARG393" s="66"/>
      <c r="ARH393" s="66"/>
      <c r="ARI393" s="66"/>
      <c r="ARJ393" s="66"/>
      <c r="ARK393" s="66"/>
      <c r="ARL393" s="66"/>
      <c r="ARM393" s="66"/>
      <c r="ARN393" s="66"/>
      <c r="ARO393" s="66"/>
      <c r="ARP393" s="66"/>
      <c r="ARQ393" s="66"/>
      <c r="ARR393" s="66"/>
      <c r="ARS393" s="66"/>
      <c r="ART393" s="66"/>
      <c r="ARU393" s="66"/>
      <c r="ARV393" s="66"/>
      <c r="ARW393" s="66"/>
      <c r="ARX393" s="66"/>
      <c r="ARY393" s="66"/>
      <c r="ARZ393" s="66"/>
      <c r="ASA393" s="66"/>
      <c r="ASB393" s="66"/>
      <c r="ASC393" s="66"/>
      <c r="ASD393" s="66"/>
      <c r="ASE393" s="66"/>
      <c r="ASF393" s="66"/>
      <c r="ASG393" s="66"/>
      <c r="ASH393" s="66"/>
      <c r="ASI393" s="66"/>
      <c r="ASJ393" s="66"/>
      <c r="ASK393" s="66"/>
      <c r="ASL393" s="66"/>
      <c r="ASM393" s="66"/>
      <c r="ASN393" s="66"/>
      <c r="ASO393" s="66"/>
      <c r="ASP393" s="66"/>
      <c r="ASQ393" s="66"/>
      <c r="ASR393" s="66"/>
      <c r="ASS393" s="66"/>
      <c r="AST393" s="66"/>
      <c r="ASU393" s="66"/>
      <c r="ASV393" s="66"/>
      <c r="ASW393" s="66"/>
      <c r="ASX393" s="66"/>
      <c r="ASY393" s="66"/>
      <c r="ASZ393" s="66"/>
      <c r="ATA393" s="66"/>
      <c r="ATB393" s="66"/>
      <c r="ATC393" s="66"/>
      <c r="ATD393" s="66"/>
      <c r="ATE393" s="66"/>
      <c r="ATF393" s="66"/>
      <c r="ATG393" s="66"/>
      <c r="ATH393" s="66"/>
      <c r="ATI393" s="66"/>
      <c r="ATJ393" s="66"/>
      <c r="ATK393" s="66"/>
      <c r="ATL393" s="66"/>
      <c r="ATM393" s="66"/>
      <c r="ATN393" s="66"/>
      <c r="ATO393" s="66"/>
      <c r="ATP393" s="66"/>
      <c r="ATQ393" s="66"/>
      <c r="ATR393" s="66"/>
      <c r="ATS393" s="66"/>
      <c r="ATT393" s="66"/>
      <c r="ATU393" s="66"/>
      <c r="ATV393" s="66"/>
      <c r="ATW393" s="66"/>
      <c r="ATX393" s="66"/>
      <c r="ATY393" s="66"/>
      <c r="ATZ393" s="66"/>
      <c r="AUA393" s="66"/>
      <c r="AUB393" s="66"/>
      <c r="AUC393" s="66"/>
      <c r="AUD393" s="66"/>
      <c r="AUE393" s="66"/>
      <c r="AUF393" s="66"/>
      <c r="AUG393" s="66"/>
      <c r="AUH393" s="66"/>
      <c r="AUI393" s="66"/>
      <c r="AUJ393" s="66"/>
      <c r="AUK393" s="66"/>
      <c r="AUL393" s="66"/>
      <c r="AUM393" s="66"/>
      <c r="AUN393" s="66"/>
      <c r="AUO393" s="66"/>
      <c r="AUP393" s="66"/>
      <c r="AUQ393" s="66"/>
      <c r="AUR393" s="66"/>
      <c r="AUS393" s="66"/>
      <c r="AUT393" s="66"/>
      <c r="AUU393" s="66"/>
      <c r="AUV393" s="66"/>
      <c r="AUW393" s="66"/>
      <c r="AUX393" s="66"/>
      <c r="AUY393" s="66"/>
      <c r="AUZ393" s="66"/>
      <c r="AVA393" s="66"/>
      <c r="AVB393" s="66"/>
      <c r="AVC393" s="66"/>
      <c r="AVD393" s="66"/>
      <c r="AVE393" s="66"/>
      <c r="AVF393" s="66"/>
      <c r="AVG393" s="66"/>
      <c r="AVH393" s="66"/>
      <c r="AVI393" s="66"/>
      <c r="AVJ393" s="66"/>
      <c r="AVK393" s="66"/>
      <c r="AVL393" s="66"/>
      <c r="AVM393" s="66"/>
      <c r="AVN393" s="66"/>
      <c r="AVO393" s="66"/>
      <c r="AVP393" s="66"/>
      <c r="AVQ393" s="66"/>
      <c r="AVR393" s="66"/>
      <c r="AVS393" s="66"/>
      <c r="AVT393" s="66"/>
      <c r="AVU393" s="66"/>
      <c r="AVV393" s="66"/>
      <c r="AVW393" s="66"/>
      <c r="AVX393" s="66"/>
      <c r="AVY393" s="66"/>
      <c r="AVZ393" s="66"/>
      <c r="AWA393" s="66"/>
      <c r="AWB393" s="66"/>
      <c r="AWC393" s="66"/>
      <c r="AWD393" s="66"/>
      <c r="AWE393" s="66"/>
      <c r="AWF393" s="66"/>
      <c r="AWG393" s="66"/>
      <c r="AWH393" s="66"/>
      <c r="AWI393" s="66"/>
      <c r="AWJ393" s="66"/>
      <c r="AWK393" s="66"/>
      <c r="AWL393" s="66"/>
      <c r="AWM393" s="66"/>
      <c r="AWN393" s="66"/>
      <c r="AWO393" s="66"/>
      <c r="AWP393" s="66"/>
      <c r="AWQ393" s="66"/>
      <c r="AWR393" s="66"/>
      <c r="AWS393" s="66"/>
      <c r="AWT393" s="66"/>
      <c r="AWU393" s="66"/>
      <c r="AWV393" s="66"/>
      <c r="AWW393" s="66"/>
      <c r="AWX393" s="66"/>
      <c r="AWY393" s="66"/>
      <c r="AWZ393" s="66"/>
      <c r="AXA393" s="66"/>
      <c r="AXB393" s="66"/>
      <c r="AXC393" s="66"/>
      <c r="AXD393" s="66"/>
      <c r="AXE393" s="66"/>
      <c r="AXF393" s="66"/>
      <c r="AXG393" s="66"/>
      <c r="AXH393" s="66"/>
      <c r="AXI393" s="66"/>
      <c r="AXJ393" s="66"/>
      <c r="AXK393" s="66"/>
      <c r="AXL393" s="66"/>
      <c r="AXM393" s="66"/>
      <c r="AXN393" s="66"/>
      <c r="AXO393" s="66"/>
      <c r="AXP393" s="66"/>
      <c r="AXQ393" s="66"/>
      <c r="AXR393" s="66"/>
      <c r="AXS393" s="66"/>
      <c r="AXT393" s="66"/>
      <c r="AXU393" s="66"/>
      <c r="AXV393" s="66"/>
      <c r="AXW393" s="66"/>
      <c r="AXX393" s="66"/>
      <c r="AXY393" s="66"/>
      <c r="AXZ393" s="66"/>
      <c r="AYA393" s="66"/>
      <c r="AYB393" s="66"/>
      <c r="AYC393" s="66"/>
      <c r="AYD393" s="66"/>
      <c r="AYE393" s="66"/>
      <c r="AYF393" s="66"/>
      <c r="AYG393" s="66"/>
      <c r="AYH393" s="66"/>
      <c r="AYI393" s="66"/>
      <c r="AYJ393" s="66"/>
      <c r="AYK393" s="66"/>
      <c r="AYL393" s="66"/>
      <c r="AYM393" s="66"/>
      <c r="AYN393" s="66"/>
      <c r="AYO393" s="66"/>
      <c r="AYP393" s="66"/>
      <c r="AYQ393" s="66"/>
      <c r="AYR393" s="66"/>
      <c r="AYS393" s="66"/>
      <c r="AYT393" s="66"/>
      <c r="AYU393" s="66"/>
      <c r="AYV393" s="66"/>
      <c r="AYW393" s="66"/>
      <c r="AYX393" s="66"/>
      <c r="AYY393" s="66"/>
      <c r="AYZ393" s="66"/>
      <c r="AZA393" s="66"/>
      <c r="AZB393" s="66"/>
      <c r="AZC393" s="66"/>
      <c r="AZD393" s="66"/>
      <c r="AZE393" s="66"/>
      <c r="AZF393" s="66"/>
      <c r="AZG393" s="66"/>
      <c r="AZH393" s="66"/>
      <c r="AZI393" s="66"/>
      <c r="AZJ393" s="66"/>
      <c r="AZK393" s="66"/>
      <c r="AZL393" s="66"/>
      <c r="AZM393" s="66"/>
      <c r="AZN393" s="66"/>
      <c r="AZO393" s="66"/>
      <c r="AZP393" s="66"/>
      <c r="AZQ393" s="66"/>
      <c r="AZR393" s="66"/>
      <c r="AZS393" s="66"/>
      <c r="AZT393" s="66"/>
      <c r="AZU393" s="66"/>
      <c r="AZV393" s="66"/>
      <c r="AZW393" s="66"/>
      <c r="AZX393" s="66"/>
      <c r="AZY393" s="66"/>
      <c r="AZZ393" s="66"/>
      <c r="BAA393" s="66"/>
      <c r="BAB393" s="66"/>
      <c r="BAC393" s="66"/>
      <c r="BAD393" s="66"/>
      <c r="BAE393" s="66"/>
      <c r="BAF393" s="66"/>
      <c r="BAG393" s="66"/>
      <c r="BAH393" s="66"/>
      <c r="BAI393" s="66"/>
      <c r="BAJ393" s="66"/>
      <c r="BAK393" s="66"/>
      <c r="BAL393" s="66"/>
      <c r="BAM393" s="66"/>
      <c r="BAN393" s="66"/>
      <c r="BAO393" s="66"/>
      <c r="BAP393" s="66"/>
      <c r="BAQ393" s="66"/>
      <c r="BAR393" s="66"/>
      <c r="BAS393" s="66"/>
      <c r="BAT393" s="66"/>
      <c r="BAU393" s="66"/>
      <c r="BAV393" s="66"/>
      <c r="BAW393" s="66"/>
      <c r="BAX393" s="66"/>
      <c r="BAY393" s="66"/>
      <c r="BAZ393" s="66"/>
      <c r="BBA393" s="66"/>
      <c r="BBB393" s="66"/>
      <c r="BBC393" s="66"/>
      <c r="BBD393" s="66"/>
      <c r="BBE393" s="66"/>
      <c r="BBF393" s="66"/>
      <c r="BBG393" s="66"/>
      <c r="BBH393" s="66"/>
      <c r="BBI393" s="66"/>
      <c r="BBJ393" s="66"/>
      <c r="BBK393" s="66"/>
      <c r="BBL393" s="66"/>
      <c r="BBM393" s="66"/>
      <c r="BBN393" s="66"/>
      <c r="BBO393" s="66"/>
      <c r="BBP393" s="66"/>
      <c r="BBQ393" s="66"/>
      <c r="BBR393" s="66"/>
      <c r="BBS393" s="66"/>
      <c r="BBT393" s="66"/>
      <c r="BBU393" s="66"/>
      <c r="BBV393" s="66"/>
      <c r="BBW393" s="66"/>
      <c r="BBX393" s="66"/>
      <c r="BBY393" s="66"/>
      <c r="BBZ393" s="66"/>
      <c r="BCA393" s="66"/>
      <c r="BCB393" s="66"/>
      <c r="BCC393" s="66"/>
      <c r="BCD393" s="66"/>
      <c r="BCE393" s="66"/>
      <c r="BCF393" s="66"/>
      <c r="BCG393" s="66"/>
      <c r="BCH393" s="66"/>
      <c r="BCI393" s="66"/>
      <c r="BCJ393" s="66"/>
      <c r="BCK393" s="66"/>
      <c r="BCL393" s="66"/>
      <c r="BCM393" s="66"/>
      <c r="BCN393" s="66"/>
      <c r="BCO393" s="66"/>
      <c r="BCP393" s="66"/>
      <c r="BCQ393" s="66"/>
      <c r="BCR393" s="66"/>
      <c r="BCS393" s="66"/>
      <c r="BCT393" s="66"/>
      <c r="BCU393" s="66"/>
      <c r="BCV393" s="66"/>
      <c r="BCW393" s="66"/>
      <c r="BCX393" s="66"/>
      <c r="BCY393" s="66"/>
      <c r="BCZ393" s="66"/>
      <c r="BDA393" s="66"/>
      <c r="BDB393" s="66"/>
      <c r="BDC393" s="66"/>
      <c r="BDD393" s="66"/>
      <c r="BDE393" s="66"/>
      <c r="BDF393" s="66"/>
      <c r="BDG393" s="66"/>
      <c r="BDH393" s="66"/>
      <c r="BDI393" s="66"/>
      <c r="BDJ393" s="66"/>
      <c r="BDK393" s="66"/>
      <c r="BDL393" s="66"/>
      <c r="BDM393" s="66"/>
      <c r="BDN393" s="66"/>
      <c r="BDO393" s="66"/>
      <c r="BDP393" s="66"/>
      <c r="BDQ393" s="66"/>
      <c r="BDR393" s="66"/>
      <c r="BDS393" s="66"/>
      <c r="BDT393" s="66"/>
      <c r="BDU393" s="66"/>
      <c r="BDV393" s="66"/>
      <c r="BDW393" s="66"/>
      <c r="BDX393" s="66"/>
      <c r="BDY393" s="66"/>
      <c r="BDZ393" s="66"/>
      <c r="BEA393" s="66"/>
      <c r="BEB393" s="66"/>
      <c r="BEC393" s="66"/>
      <c r="BED393" s="66"/>
      <c r="BEE393" s="66"/>
      <c r="BEF393" s="66"/>
      <c r="BEG393" s="66"/>
      <c r="BEH393" s="66"/>
      <c r="BEI393" s="66"/>
      <c r="BEJ393" s="66"/>
      <c r="BEK393" s="66"/>
      <c r="BEL393" s="66"/>
      <c r="BEM393" s="66"/>
      <c r="BEN393" s="66"/>
      <c r="BEO393" s="66"/>
      <c r="BEP393" s="66"/>
      <c r="BEQ393" s="66"/>
      <c r="BER393" s="66"/>
      <c r="BES393" s="66"/>
      <c r="BET393" s="66"/>
      <c r="BEU393" s="66"/>
      <c r="BEV393" s="66"/>
      <c r="BEW393" s="66"/>
      <c r="BEX393" s="66"/>
      <c r="BEY393" s="66"/>
      <c r="BEZ393" s="66"/>
      <c r="BFA393" s="66"/>
      <c r="BFB393" s="66"/>
      <c r="BFC393" s="66"/>
      <c r="BFD393" s="66"/>
      <c r="BFE393" s="66"/>
      <c r="BFF393" s="66"/>
      <c r="BFG393" s="66"/>
      <c r="BFH393" s="66"/>
      <c r="BFI393" s="66"/>
      <c r="BFJ393" s="66"/>
      <c r="BFK393" s="66"/>
      <c r="BFL393" s="66"/>
      <c r="BFM393" s="66"/>
      <c r="BFN393" s="66"/>
      <c r="BFO393" s="66"/>
      <c r="BFP393" s="66"/>
      <c r="BFQ393" s="66"/>
      <c r="BFR393" s="66"/>
      <c r="BFS393" s="66"/>
      <c r="BFT393" s="66"/>
      <c r="BFU393" s="66"/>
      <c r="BFV393" s="66"/>
      <c r="BFW393" s="66"/>
      <c r="BFX393" s="66"/>
      <c r="BFY393" s="66"/>
      <c r="BFZ393" s="66"/>
      <c r="BGA393" s="66"/>
      <c r="BGB393" s="66"/>
      <c r="BGC393" s="66"/>
      <c r="BGD393" s="66"/>
      <c r="BGE393" s="66"/>
      <c r="BGF393" s="66"/>
      <c r="BGG393" s="66"/>
      <c r="BGH393" s="66"/>
      <c r="BGI393" s="66"/>
      <c r="BGJ393" s="66"/>
      <c r="BGK393" s="66"/>
      <c r="BGL393" s="66"/>
      <c r="BGM393" s="66"/>
      <c r="BGN393" s="66"/>
      <c r="BGO393" s="66"/>
      <c r="BGP393" s="66"/>
      <c r="BGQ393" s="66"/>
      <c r="BGR393" s="66"/>
      <c r="BGS393" s="66"/>
      <c r="BGT393" s="66"/>
      <c r="BGU393" s="66"/>
      <c r="BGV393" s="66"/>
      <c r="BGW393" s="66"/>
      <c r="BGX393" s="66"/>
      <c r="BGY393" s="66"/>
      <c r="BGZ393" s="66"/>
      <c r="BHA393" s="66"/>
      <c r="BHB393" s="66"/>
      <c r="BHC393" s="66"/>
      <c r="BHD393" s="66"/>
      <c r="BHE393" s="66"/>
      <c r="BHF393" s="66"/>
      <c r="BHG393" s="66"/>
      <c r="BHH393" s="66"/>
      <c r="BHI393" s="66"/>
      <c r="BHJ393" s="66"/>
      <c r="BHK393" s="66"/>
      <c r="BHL393" s="66"/>
      <c r="BHM393" s="66"/>
      <c r="BHN393" s="66"/>
      <c r="BHO393" s="66"/>
      <c r="BHP393" s="66"/>
      <c r="BHQ393" s="66"/>
      <c r="BHR393" s="66"/>
      <c r="BHS393" s="66"/>
      <c r="BHT393" s="66"/>
      <c r="BHU393" s="66"/>
      <c r="BHV393" s="66"/>
      <c r="BHW393" s="66"/>
      <c r="BHX393" s="66"/>
      <c r="BHY393" s="66"/>
      <c r="BHZ393" s="66"/>
      <c r="BIA393" s="66"/>
      <c r="BIB393" s="66"/>
      <c r="BIC393" s="66"/>
      <c r="BID393" s="66"/>
      <c r="BIE393" s="66"/>
      <c r="BIF393" s="66"/>
      <c r="BIG393" s="66"/>
      <c r="BIH393" s="66"/>
      <c r="BII393" s="66"/>
      <c r="BIJ393" s="66"/>
      <c r="BIK393" s="66"/>
      <c r="BIL393" s="66"/>
      <c r="BIM393" s="66"/>
      <c r="BIN393" s="66"/>
      <c r="BIO393" s="66"/>
      <c r="BIP393" s="66"/>
      <c r="BIQ393" s="66"/>
      <c r="BIR393" s="66"/>
      <c r="BIS393" s="66"/>
      <c r="BIT393" s="66"/>
      <c r="BIU393" s="66"/>
      <c r="BIV393" s="66"/>
      <c r="BIW393" s="66"/>
      <c r="BIX393" s="66"/>
      <c r="BIY393" s="66"/>
      <c r="BIZ393" s="66"/>
      <c r="BJA393" s="66"/>
      <c r="BJB393" s="66"/>
      <c r="BJC393" s="66"/>
      <c r="BJD393" s="66"/>
      <c r="BJE393" s="66"/>
      <c r="BJF393" s="66"/>
      <c r="BJG393" s="66"/>
      <c r="BJH393" s="66"/>
      <c r="BJI393" s="66"/>
      <c r="BJJ393" s="66"/>
      <c r="BJK393" s="66"/>
      <c r="BJL393" s="66"/>
      <c r="BJM393" s="66"/>
      <c r="BJN393" s="66"/>
      <c r="BJO393" s="66"/>
      <c r="BJP393" s="66"/>
      <c r="BJQ393" s="66"/>
      <c r="BJR393" s="66"/>
      <c r="BJS393" s="66"/>
      <c r="BJT393" s="66"/>
      <c r="BJU393" s="66"/>
      <c r="BJV393" s="66"/>
      <c r="BJW393" s="66"/>
      <c r="BJX393" s="66"/>
      <c r="BJY393" s="66"/>
      <c r="BJZ393" s="66"/>
      <c r="BKA393" s="66"/>
      <c r="BKB393" s="66"/>
      <c r="BKC393" s="66"/>
      <c r="BKD393" s="66"/>
      <c r="BKE393" s="66"/>
      <c r="BKF393" s="66"/>
      <c r="BKG393" s="66"/>
      <c r="BKH393" s="66"/>
      <c r="BKI393" s="66"/>
      <c r="BKJ393" s="66"/>
      <c r="BKK393" s="66"/>
      <c r="BKL393" s="66"/>
      <c r="BKM393" s="66"/>
      <c r="BKN393" s="66"/>
      <c r="BKO393" s="66"/>
      <c r="BKP393" s="66"/>
      <c r="BKQ393" s="66"/>
      <c r="BKR393" s="66"/>
      <c r="BKS393" s="66"/>
      <c r="BKT393" s="66"/>
      <c r="BKU393" s="66"/>
      <c r="BKV393" s="66"/>
      <c r="BKW393" s="66"/>
      <c r="BKX393" s="66"/>
      <c r="BKY393" s="66"/>
      <c r="BKZ393" s="66"/>
      <c r="BLA393" s="66"/>
      <c r="BLB393" s="66"/>
      <c r="BLC393" s="66"/>
      <c r="BLD393" s="66"/>
      <c r="BLE393" s="66"/>
      <c r="BLF393" s="66"/>
      <c r="BLG393" s="66"/>
      <c r="BLH393" s="66"/>
      <c r="BLI393" s="66"/>
      <c r="BLJ393" s="66"/>
      <c r="BLK393" s="66"/>
      <c r="BLL393" s="66"/>
      <c r="BLM393" s="66"/>
      <c r="BLN393" s="66"/>
      <c r="BLO393" s="66"/>
      <c r="BLP393" s="66"/>
      <c r="BLQ393" s="66"/>
      <c r="BLR393" s="66"/>
      <c r="BLS393" s="66"/>
      <c r="BLT393" s="66"/>
      <c r="BLU393" s="66"/>
      <c r="BLV393" s="66"/>
      <c r="BLW393" s="66"/>
      <c r="BLX393" s="66"/>
      <c r="BLY393" s="66"/>
      <c r="BLZ393" s="66"/>
      <c r="BMA393" s="66"/>
      <c r="BMB393" s="66"/>
      <c r="BMC393" s="66"/>
      <c r="BMD393" s="66"/>
      <c r="BME393" s="66"/>
      <c r="BMF393" s="66"/>
      <c r="BMG393" s="66"/>
      <c r="BMH393" s="66"/>
      <c r="BMI393" s="66"/>
      <c r="BMJ393" s="66"/>
      <c r="BMK393" s="66"/>
      <c r="BML393" s="66"/>
      <c r="BMM393" s="66"/>
      <c r="BMN393" s="66"/>
      <c r="BMO393" s="66"/>
      <c r="BMP393" s="66"/>
      <c r="BMQ393" s="66"/>
      <c r="BMR393" s="66"/>
      <c r="BMS393" s="66"/>
      <c r="BMT393" s="66"/>
      <c r="BMU393" s="66"/>
      <c r="BMV393" s="66"/>
      <c r="BMW393" s="66"/>
      <c r="BMX393" s="66"/>
      <c r="BMY393" s="66"/>
      <c r="BMZ393" s="66"/>
      <c r="BNA393" s="66"/>
      <c r="BNB393" s="66"/>
      <c r="BNC393" s="66"/>
      <c r="BND393" s="66"/>
      <c r="BNE393" s="66"/>
      <c r="BNF393" s="66"/>
      <c r="BNG393" s="66"/>
      <c r="BNH393" s="66"/>
      <c r="BNI393" s="66"/>
      <c r="BNJ393" s="66"/>
      <c r="BNK393" s="66"/>
      <c r="BNL393" s="66"/>
      <c r="BNM393" s="66"/>
      <c r="BNN393" s="66"/>
      <c r="BNO393" s="66"/>
      <c r="BNP393" s="66"/>
      <c r="BNQ393" s="66"/>
      <c r="BNR393" s="66"/>
      <c r="BNS393" s="66"/>
      <c r="BNT393" s="66"/>
      <c r="BNU393" s="66"/>
      <c r="BNV393" s="66"/>
      <c r="BNW393" s="66"/>
      <c r="BNX393" s="66"/>
      <c r="BNY393" s="66"/>
      <c r="BNZ393" s="66"/>
      <c r="BOA393" s="66"/>
      <c r="BOB393" s="66"/>
      <c r="BOC393" s="66"/>
      <c r="BOD393" s="66"/>
      <c r="BOE393" s="66"/>
      <c r="BOF393" s="66"/>
      <c r="BOG393" s="66"/>
      <c r="BOH393" s="66"/>
      <c r="BOI393" s="66"/>
      <c r="BOJ393" s="66"/>
      <c r="BOK393" s="66"/>
      <c r="BOL393" s="66"/>
      <c r="BOM393" s="66"/>
      <c r="BON393" s="66"/>
      <c r="BOO393" s="66"/>
      <c r="BOP393" s="66"/>
      <c r="BOQ393" s="66"/>
      <c r="BOR393" s="66"/>
      <c r="BOS393" s="66"/>
      <c r="BOT393" s="66"/>
      <c r="BOU393" s="66"/>
      <c r="BOV393" s="66"/>
      <c r="BOW393" s="66"/>
      <c r="BOX393" s="66"/>
      <c r="BOY393" s="66"/>
      <c r="BOZ393" s="66"/>
      <c r="BPA393" s="66"/>
      <c r="BPB393" s="66"/>
      <c r="BPC393" s="66"/>
      <c r="BPD393" s="66"/>
      <c r="BPE393" s="66"/>
      <c r="BPF393" s="66"/>
      <c r="BPG393" s="66"/>
      <c r="BPH393" s="66"/>
      <c r="BPI393" s="66"/>
      <c r="BPJ393" s="66"/>
      <c r="BPK393" s="66"/>
      <c r="BPL393" s="66"/>
      <c r="BPM393" s="66"/>
      <c r="BPN393" s="66"/>
      <c r="BPO393" s="66"/>
      <c r="BPP393" s="66"/>
      <c r="BPQ393" s="66"/>
      <c r="BPR393" s="66"/>
      <c r="BPS393" s="66"/>
      <c r="BPT393" s="66"/>
      <c r="BPU393" s="66"/>
      <c r="BPV393" s="66"/>
      <c r="BPW393" s="66"/>
      <c r="BPX393" s="66"/>
      <c r="BPY393" s="66"/>
      <c r="BPZ393" s="66"/>
      <c r="BQA393" s="66"/>
      <c r="BQB393" s="66"/>
      <c r="BQC393" s="66"/>
      <c r="BQD393" s="66"/>
      <c r="BQE393" s="66"/>
      <c r="BQF393" s="66"/>
      <c r="BQG393" s="66"/>
      <c r="BQH393" s="66"/>
      <c r="BQI393" s="66"/>
      <c r="BQJ393" s="66"/>
      <c r="BQK393" s="66"/>
      <c r="BQL393" s="66"/>
      <c r="BQM393" s="66"/>
      <c r="BQN393" s="66"/>
      <c r="BQO393" s="66"/>
      <c r="BQP393" s="66"/>
      <c r="BQQ393" s="66"/>
      <c r="BQR393" s="66"/>
      <c r="BQS393" s="66"/>
      <c r="BQT393" s="66"/>
      <c r="BQU393" s="66"/>
      <c r="BQV393" s="66"/>
      <c r="BQW393" s="66"/>
      <c r="BQX393" s="66"/>
      <c r="BQY393" s="66"/>
      <c r="BQZ393" s="66"/>
      <c r="BRA393" s="66"/>
      <c r="BRB393" s="66"/>
      <c r="BRC393" s="66"/>
      <c r="BRD393" s="66"/>
      <c r="BRE393" s="66"/>
      <c r="BRF393" s="66"/>
      <c r="BRG393" s="66"/>
      <c r="BRH393" s="66"/>
      <c r="BRI393" s="66"/>
      <c r="BRJ393" s="66"/>
      <c r="BRK393" s="66"/>
      <c r="BRL393" s="66"/>
      <c r="BRM393" s="66"/>
      <c r="BRN393" s="66"/>
      <c r="BRO393" s="66"/>
      <c r="BRP393" s="66"/>
      <c r="BRQ393" s="66"/>
      <c r="BRR393" s="66"/>
      <c r="BRS393" s="66"/>
      <c r="BRT393" s="66"/>
      <c r="BRU393" s="66"/>
      <c r="BRV393" s="66"/>
      <c r="BRW393" s="66"/>
      <c r="BRX393" s="66"/>
      <c r="BRY393" s="66"/>
      <c r="BRZ393" s="66"/>
      <c r="BSA393" s="66"/>
      <c r="BSB393" s="66"/>
      <c r="BSC393" s="66"/>
      <c r="BSD393" s="66"/>
      <c r="BSE393" s="66"/>
      <c r="BSF393" s="66"/>
      <c r="BSG393" s="66"/>
      <c r="BSH393" s="66"/>
      <c r="BSI393" s="66"/>
      <c r="BSJ393" s="66"/>
      <c r="BSK393" s="66"/>
      <c r="BSL393" s="66"/>
      <c r="BSM393" s="66"/>
      <c r="BSN393" s="66"/>
      <c r="BSO393" s="66"/>
      <c r="BSP393" s="66"/>
      <c r="BSQ393" s="66"/>
      <c r="BSR393" s="66"/>
      <c r="BSS393" s="66"/>
      <c r="BST393" s="66"/>
      <c r="BSU393" s="66"/>
      <c r="BSV393" s="66"/>
      <c r="BSW393" s="66"/>
      <c r="BSX393" s="66"/>
      <c r="BSY393" s="66"/>
      <c r="BSZ393" s="66"/>
      <c r="BTA393" s="66"/>
      <c r="BTB393" s="66"/>
      <c r="BTC393" s="66"/>
      <c r="BTD393" s="66"/>
      <c r="BTE393" s="66"/>
      <c r="BTF393" s="66"/>
      <c r="BTG393" s="66"/>
      <c r="BTH393" s="66"/>
      <c r="BTI393" s="66"/>
      <c r="BTJ393" s="66"/>
      <c r="BTK393" s="66"/>
      <c r="BTL393" s="66"/>
      <c r="BTM393" s="66"/>
      <c r="BTN393" s="66"/>
      <c r="BTO393" s="66"/>
      <c r="BTP393" s="66"/>
      <c r="BTQ393" s="66"/>
      <c r="BTR393" s="66"/>
      <c r="BTS393" s="66"/>
      <c r="BTT393" s="66"/>
      <c r="BTU393" s="66"/>
      <c r="BTV393" s="66"/>
      <c r="BTW393" s="66"/>
      <c r="BTX393" s="66"/>
      <c r="BTY393" s="66"/>
      <c r="BTZ393" s="66"/>
      <c r="BUA393" s="66"/>
      <c r="BUB393" s="66"/>
      <c r="BUC393" s="66"/>
      <c r="BUD393" s="66"/>
      <c r="BUE393" s="66"/>
      <c r="BUF393" s="66"/>
      <c r="BUG393" s="66"/>
      <c r="BUH393" s="66"/>
      <c r="BUI393" s="66"/>
      <c r="BUJ393" s="66"/>
      <c r="BUK393" s="66"/>
      <c r="BUL393" s="66"/>
      <c r="BUM393" s="66"/>
      <c r="BUN393" s="66"/>
      <c r="BUO393" s="66"/>
      <c r="BUP393" s="66"/>
      <c r="BUQ393" s="66"/>
      <c r="BUR393" s="66"/>
      <c r="BUS393" s="66"/>
      <c r="BUT393" s="66"/>
      <c r="BUU393" s="66"/>
      <c r="BUV393" s="66"/>
      <c r="BUW393" s="66"/>
      <c r="BUX393" s="66"/>
      <c r="BUY393" s="66"/>
      <c r="BUZ393" s="66"/>
      <c r="BVA393" s="66"/>
      <c r="BVB393" s="66"/>
      <c r="BVC393" s="66"/>
      <c r="BVD393" s="66"/>
      <c r="BVE393" s="66"/>
      <c r="BVF393" s="66"/>
      <c r="BVG393" s="66"/>
      <c r="BVH393" s="66"/>
      <c r="BVI393" s="66"/>
      <c r="BVJ393" s="66"/>
      <c r="BVK393" s="66"/>
      <c r="BVL393" s="66"/>
      <c r="BVM393" s="66"/>
      <c r="BVN393" s="66"/>
      <c r="BVO393" s="66"/>
      <c r="BVP393" s="66"/>
      <c r="BVQ393" s="66"/>
      <c r="BVR393" s="66"/>
      <c r="BVS393" s="66"/>
      <c r="BVT393" s="66"/>
      <c r="BVU393" s="66"/>
      <c r="BVV393" s="66"/>
      <c r="BVW393" s="66"/>
      <c r="BVX393" s="66"/>
      <c r="BVY393" s="66"/>
      <c r="BVZ393" s="66"/>
      <c r="BWA393" s="66"/>
      <c r="BWB393" s="66"/>
      <c r="BWC393" s="66"/>
      <c r="BWD393" s="66"/>
      <c r="BWE393" s="66"/>
      <c r="BWF393" s="66"/>
      <c r="BWG393" s="66"/>
      <c r="BWH393" s="66"/>
      <c r="BWI393" s="66"/>
      <c r="BWJ393" s="66"/>
      <c r="BWK393" s="66"/>
      <c r="BWL393" s="66"/>
      <c r="BWM393" s="66"/>
      <c r="BWN393" s="66"/>
      <c r="BWO393" s="66"/>
      <c r="BWP393" s="66"/>
      <c r="BWQ393" s="66"/>
      <c r="BWR393" s="66"/>
      <c r="BWS393" s="66"/>
      <c r="BWT393" s="66"/>
      <c r="BWU393" s="66"/>
      <c r="BWV393" s="66"/>
      <c r="BWW393" s="66"/>
      <c r="BWX393" s="66"/>
      <c r="BWY393" s="66"/>
      <c r="BWZ393" s="66"/>
      <c r="BXA393" s="66"/>
      <c r="BXB393" s="66"/>
      <c r="BXC393" s="66"/>
      <c r="BXD393" s="66"/>
      <c r="BXE393" s="66"/>
      <c r="BXF393" s="66"/>
      <c r="BXG393" s="66"/>
      <c r="BXH393" s="66"/>
      <c r="BXI393" s="66"/>
      <c r="BXJ393" s="66"/>
      <c r="BXK393" s="66"/>
      <c r="BXL393" s="66"/>
      <c r="BXM393" s="66"/>
      <c r="BXN393" s="66"/>
      <c r="BXO393" s="66"/>
      <c r="BXP393" s="66"/>
      <c r="BXQ393" s="66"/>
      <c r="BXR393" s="66"/>
      <c r="BXS393" s="66"/>
      <c r="BXT393" s="66"/>
      <c r="BXU393" s="66"/>
      <c r="BXV393" s="66"/>
      <c r="BXW393" s="66"/>
      <c r="BXX393" s="66"/>
      <c r="BXY393" s="66"/>
      <c r="BXZ393" s="66"/>
      <c r="BYA393" s="66"/>
      <c r="BYB393" s="66"/>
      <c r="BYC393" s="66"/>
      <c r="BYD393" s="66"/>
      <c r="BYE393" s="66"/>
      <c r="BYF393" s="66"/>
      <c r="BYG393" s="66"/>
      <c r="BYH393" s="66"/>
      <c r="BYI393" s="66"/>
      <c r="BYJ393" s="66"/>
      <c r="BYK393" s="66"/>
      <c r="BYL393" s="66"/>
      <c r="BYM393" s="66"/>
      <c r="BYN393" s="66"/>
      <c r="BYO393" s="66"/>
      <c r="BYP393" s="66"/>
      <c r="BYQ393" s="66"/>
      <c r="BYR393" s="66"/>
      <c r="BYS393" s="66"/>
      <c r="BYT393" s="66"/>
      <c r="BYU393" s="66"/>
      <c r="BYV393" s="66"/>
      <c r="BYW393" s="66"/>
      <c r="BYX393" s="66"/>
      <c r="BYY393" s="66"/>
      <c r="BYZ393" s="66"/>
      <c r="BZA393" s="66"/>
      <c r="BZB393" s="66"/>
      <c r="BZC393" s="66"/>
      <c r="BZD393" s="66"/>
      <c r="BZE393" s="66"/>
      <c r="BZF393" s="66"/>
      <c r="BZG393" s="66"/>
      <c r="BZH393" s="66"/>
      <c r="BZI393" s="66"/>
      <c r="BZJ393" s="66"/>
      <c r="BZK393" s="66"/>
      <c r="BZL393" s="66"/>
      <c r="BZM393" s="66"/>
      <c r="BZN393" s="66"/>
      <c r="BZO393" s="66"/>
      <c r="BZP393" s="66"/>
      <c r="BZQ393" s="66"/>
      <c r="BZR393" s="66"/>
      <c r="BZS393" s="66"/>
      <c r="BZT393" s="66"/>
      <c r="BZU393" s="66"/>
      <c r="BZV393" s="66"/>
      <c r="BZW393" s="66"/>
      <c r="BZX393" s="66"/>
      <c r="BZY393" s="66"/>
      <c r="BZZ393" s="66"/>
      <c r="CAA393" s="66"/>
      <c r="CAB393" s="66"/>
      <c r="CAC393" s="66"/>
      <c r="CAD393" s="66"/>
      <c r="CAE393" s="66"/>
      <c r="CAF393" s="66"/>
      <c r="CAG393" s="66"/>
      <c r="CAH393" s="66"/>
      <c r="CAI393" s="66"/>
      <c r="CAJ393" s="66"/>
      <c r="CAK393" s="66"/>
      <c r="CAL393" s="66"/>
      <c r="CAM393" s="66"/>
      <c r="CAN393" s="66"/>
      <c r="CAO393" s="66"/>
      <c r="CAP393" s="66"/>
      <c r="CAQ393" s="66"/>
      <c r="CAR393" s="66"/>
      <c r="CAS393" s="66"/>
      <c r="CAT393" s="66"/>
      <c r="CAU393" s="66"/>
      <c r="CAV393" s="66"/>
      <c r="CAW393" s="66"/>
      <c r="CAX393" s="66"/>
      <c r="CAY393" s="66"/>
      <c r="CAZ393" s="66"/>
      <c r="CBA393" s="66"/>
      <c r="CBB393" s="66"/>
      <c r="CBC393" s="66"/>
      <c r="CBD393" s="66"/>
      <c r="CBE393" s="66"/>
      <c r="CBF393" s="66"/>
      <c r="CBG393" s="66"/>
      <c r="CBH393" s="66"/>
      <c r="CBI393" s="66"/>
      <c r="CBJ393" s="66"/>
      <c r="CBK393" s="66"/>
      <c r="CBL393" s="66"/>
      <c r="CBM393" s="66"/>
      <c r="CBN393" s="66"/>
      <c r="CBO393" s="66"/>
      <c r="CBP393" s="66"/>
      <c r="CBQ393" s="66"/>
      <c r="CBR393" s="66"/>
      <c r="CBS393" s="66"/>
      <c r="CBT393" s="66"/>
      <c r="CBU393" s="66"/>
      <c r="CBV393" s="66"/>
      <c r="CBW393" s="66"/>
      <c r="CBX393" s="66"/>
      <c r="CBY393" s="66"/>
      <c r="CBZ393" s="66"/>
      <c r="CCA393" s="66"/>
      <c r="CCB393" s="66"/>
      <c r="CCC393" s="66"/>
      <c r="CCD393" s="66"/>
      <c r="CCE393" s="66"/>
      <c r="CCF393" s="66"/>
      <c r="CCG393" s="66"/>
      <c r="CCH393" s="66"/>
      <c r="CCI393" s="66"/>
      <c r="CCJ393" s="66"/>
      <c r="CCK393" s="66"/>
      <c r="CCL393" s="66"/>
      <c r="CCM393" s="66"/>
      <c r="CCN393" s="66"/>
      <c r="CCO393" s="66"/>
      <c r="CCP393" s="66"/>
      <c r="CCQ393" s="66"/>
      <c r="CCR393" s="66"/>
      <c r="CCS393" s="66"/>
      <c r="CCT393" s="66"/>
      <c r="CCU393" s="66"/>
      <c r="CCV393" s="66"/>
      <c r="CCW393" s="66"/>
      <c r="CCX393" s="66"/>
      <c r="CCY393" s="66"/>
      <c r="CCZ393" s="66"/>
      <c r="CDA393" s="66"/>
      <c r="CDB393" s="66"/>
      <c r="CDC393" s="66"/>
      <c r="CDD393" s="66"/>
      <c r="CDE393" s="66"/>
      <c r="CDF393" s="66"/>
      <c r="CDG393" s="66"/>
      <c r="CDH393" s="66"/>
      <c r="CDI393" s="66"/>
      <c r="CDJ393" s="66"/>
      <c r="CDK393" s="66"/>
      <c r="CDL393" s="66"/>
      <c r="CDM393" s="66"/>
      <c r="CDN393" s="66"/>
      <c r="CDO393" s="66"/>
      <c r="CDP393" s="66"/>
      <c r="CDQ393" s="66"/>
      <c r="CDR393" s="66"/>
      <c r="CDS393" s="66"/>
      <c r="CDT393" s="66"/>
      <c r="CDU393" s="66"/>
      <c r="CDV393" s="66"/>
      <c r="CDW393" s="66"/>
      <c r="CDX393" s="66"/>
      <c r="CDY393" s="66"/>
      <c r="CDZ393" s="66"/>
      <c r="CEA393" s="66"/>
      <c r="CEB393" s="66"/>
      <c r="CEC393" s="66"/>
      <c r="CED393" s="66"/>
      <c r="CEE393" s="66"/>
      <c r="CEF393" s="66"/>
      <c r="CEG393" s="66"/>
      <c r="CEH393" s="66"/>
      <c r="CEI393" s="66"/>
      <c r="CEJ393" s="66"/>
      <c r="CEK393" s="66"/>
      <c r="CEL393" s="66"/>
      <c r="CEM393" s="66"/>
      <c r="CEN393" s="66"/>
      <c r="CEO393" s="66"/>
      <c r="CEP393" s="66"/>
      <c r="CEQ393" s="66"/>
      <c r="CER393" s="66"/>
      <c r="CES393" s="66"/>
      <c r="CET393" s="66"/>
      <c r="CEU393" s="66"/>
      <c r="CEV393" s="66"/>
      <c r="CEW393" s="66"/>
      <c r="CEX393" s="66"/>
      <c r="CEY393" s="66"/>
      <c r="CEZ393" s="66"/>
      <c r="CFA393" s="66"/>
      <c r="CFB393" s="66"/>
      <c r="CFC393" s="66"/>
      <c r="CFD393" s="66"/>
      <c r="CFE393" s="66"/>
      <c r="CFF393" s="66"/>
      <c r="CFG393" s="66"/>
      <c r="CFH393" s="66"/>
      <c r="CFI393" s="66"/>
      <c r="CFJ393" s="66"/>
      <c r="CFK393" s="66"/>
      <c r="CFL393" s="66"/>
      <c r="CFM393" s="66"/>
      <c r="CFN393" s="66"/>
      <c r="CFO393" s="66"/>
      <c r="CFP393" s="66"/>
      <c r="CFQ393" s="66"/>
      <c r="CFR393" s="66"/>
      <c r="CFS393" s="66"/>
      <c r="CFT393" s="66"/>
      <c r="CFU393" s="66"/>
      <c r="CFV393" s="66"/>
      <c r="CFW393" s="66"/>
      <c r="CFX393" s="66"/>
      <c r="CFY393" s="66"/>
      <c r="CFZ393" s="66"/>
      <c r="CGA393" s="66"/>
      <c r="CGB393" s="66"/>
      <c r="CGC393" s="66"/>
      <c r="CGD393" s="66"/>
      <c r="CGE393" s="66"/>
      <c r="CGF393" s="66"/>
      <c r="CGG393" s="66"/>
      <c r="CGH393" s="66"/>
      <c r="CGI393" s="66"/>
      <c r="CGJ393" s="66"/>
      <c r="CGK393" s="66"/>
      <c r="CGL393" s="66"/>
      <c r="CGM393" s="66"/>
      <c r="CGN393" s="66"/>
      <c r="CGO393" s="66"/>
      <c r="CGP393" s="66"/>
      <c r="CGQ393" s="66"/>
      <c r="CGR393" s="66"/>
      <c r="CGS393" s="66"/>
      <c r="CGT393" s="66"/>
      <c r="CGU393" s="66"/>
      <c r="CGV393" s="66"/>
      <c r="CGW393" s="66"/>
      <c r="CGX393" s="66"/>
      <c r="CGY393" s="66"/>
      <c r="CGZ393" s="66"/>
      <c r="CHA393" s="66"/>
      <c r="CHB393" s="66"/>
      <c r="CHC393" s="66"/>
      <c r="CHD393" s="66"/>
      <c r="CHE393" s="66"/>
      <c r="CHF393" s="66"/>
      <c r="CHG393" s="66"/>
      <c r="CHH393" s="66"/>
      <c r="CHI393" s="66"/>
      <c r="CHJ393" s="66"/>
      <c r="CHK393" s="66"/>
      <c r="CHL393" s="66"/>
      <c r="CHM393" s="66"/>
      <c r="CHN393" s="66"/>
      <c r="CHO393" s="66"/>
      <c r="CHP393" s="66"/>
      <c r="CHQ393" s="66"/>
      <c r="CHR393" s="66"/>
      <c r="CHS393" s="66"/>
      <c r="CHT393" s="66"/>
      <c r="CHU393" s="66"/>
      <c r="CHV393" s="66"/>
      <c r="CHW393" s="66"/>
      <c r="CHX393" s="66"/>
      <c r="CHY393" s="66"/>
      <c r="CHZ393" s="66"/>
      <c r="CIA393" s="66"/>
      <c r="CIB393" s="66"/>
      <c r="CIC393" s="66"/>
      <c r="CID393" s="66"/>
      <c r="CIE393" s="66"/>
      <c r="CIF393" s="66"/>
      <c r="CIG393" s="66"/>
      <c r="CIH393" s="66"/>
      <c r="CII393" s="66"/>
      <c r="CIJ393" s="66"/>
      <c r="CIK393" s="66"/>
      <c r="CIL393" s="66"/>
      <c r="CIM393" s="66"/>
      <c r="CIN393" s="66"/>
      <c r="CIO393" s="66"/>
      <c r="CIP393" s="66"/>
      <c r="CIQ393" s="66"/>
      <c r="CIR393" s="66"/>
      <c r="CIS393" s="66"/>
      <c r="CIT393" s="66"/>
      <c r="CIU393" s="66"/>
      <c r="CIV393" s="66"/>
      <c r="CIW393" s="66"/>
      <c r="CIX393" s="66"/>
      <c r="CIY393" s="66"/>
      <c r="CIZ393" s="66"/>
      <c r="CJA393" s="66"/>
      <c r="CJB393" s="66"/>
      <c r="CJC393" s="66"/>
      <c r="CJD393" s="66"/>
      <c r="CJE393" s="66"/>
      <c r="CJF393" s="66"/>
      <c r="CJG393" s="66"/>
      <c r="CJH393" s="66"/>
      <c r="CJI393" s="66"/>
      <c r="CJJ393" s="66"/>
      <c r="CJK393" s="66"/>
      <c r="CJL393" s="66"/>
      <c r="CJM393" s="66"/>
      <c r="CJN393" s="66"/>
      <c r="CJO393" s="66"/>
      <c r="CJP393" s="66"/>
      <c r="CJQ393" s="66"/>
      <c r="CJR393" s="66"/>
      <c r="CJS393" s="66"/>
      <c r="CJT393" s="66"/>
      <c r="CJU393" s="66"/>
      <c r="CJV393" s="66"/>
      <c r="CJW393" s="66"/>
      <c r="CJX393" s="66"/>
      <c r="CJY393" s="66"/>
      <c r="CJZ393" s="66"/>
      <c r="CKA393" s="66"/>
      <c r="CKB393" s="66"/>
      <c r="CKC393" s="66"/>
      <c r="CKD393" s="66"/>
      <c r="CKE393" s="66"/>
      <c r="CKF393" s="66"/>
      <c r="CKG393" s="66"/>
      <c r="CKH393" s="66"/>
      <c r="CKI393" s="66"/>
      <c r="CKJ393" s="66"/>
      <c r="CKK393" s="66"/>
      <c r="CKL393" s="66"/>
      <c r="CKM393" s="66"/>
      <c r="CKN393" s="66"/>
      <c r="CKO393" s="66"/>
      <c r="CKP393" s="66"/>
      <c r="CKQ393" s="66"/>
      <c r="CKR393" s="66"/>
      <c r="CKS393" s="66"/>
      <c r="CKT393" s="66"/>
      <c r="CKU393" s="66"/>
      <c r="CKV393" s="66"/>
      <c r="CKW393" s="66"/>
      <c r="CKX393" s="66"/>
      <c r="CKY393" s="66"/>
      <c r="CKZ393" s="66"/>
      <c r="CLA393" s="66"/>
      <c r="CLB393" s="66"/>
      <c r="CLC393" s="66"/>
      <c r="CLD393" s="66"/>
      <c r="CLE393" s="66"/>
      <c r="CLF393" s="66"/>
      <c r="CLG393" s="66"/>
      <c r="CLH393" s="66"/>
      <c r="CLI393" s="66"/>
      <c r="CLJ393" s="66"/>
      <c r="CLK393" s="66"/>
      <c r="CLL393" s="66"/>
      <c r="CLM393" s="66"/>
      <c r="CLN393" s="66"/>
      <c r="CLO393" s="66"/>
      <c r="CLP393" s="66"/>
      <c r="CLQ393" s="66"/>
      <c r="CLR393" s="66"/>
      <c r="CLS393" s="66"/>
      <c r="CLT393" s="66"/>
      <c r="CLU393" s="66"/>
      <c r="CLV393" s="66"/>
      <c r="CLW393" s="66"/>
      <c r="CLX393" s="66"/>
      <c r="CLY393" s="66"/>
      <c r="CLZ393" s="66"/>
      <c r="CMA393" s="66"/>
      <c r="CMB393" s="66"/>
      <c r="CMC393" s="66"/>
      <c r="CMD393" s="66"/>
      <c r="CME393" s="66"/>
      <c r="CMF393" s="66"/>
      <c r="CMG393" s="66"/>
      <c r="CMH393" s="66"/>
      <c r="CMI393" s="66"/>
      <c r="CMJ393" s="66"/>
      <c r="CMK393" s="66"/>
      <c r="CML393" s="66"/>
      <c r="CMM393" s="66"/>
      <c r="CMN393" s="66"/>
      <c r="CMO393" s="66"/>
      <c r="CMP393" s="66"/>
      <c r="CMQ393" s="66"/>
      <c r="CMR393" s="66"/>
      <c r="CMS393" s="66"/>
      <c r="CMT393" s="66"/>
      <c r="CMU393" s="66"/>
      <c r="CMV393" s="66"/>
      <c r="CMW393" s="66"/>
      <c r="CMX393" s="66"/>
      <c r="CMY393" s="66"/>
      <c r="CMZ393" s="66"/>
      <c r="CNA393" s="66"/>
      <c r="CNB393" s="66"/>
      <c r="CNC393" s="66"/>
      <c r="CND393" s="66"/>
      <c r="CNE393" s="66"/>
      <c r="CNF393" s="66"/>
      <c r="CNG393" s="66"/>
      <c r="CNH393" s="66"/>
      <c r="CNI393" s="66"/>
      <c r="CNJ393" s="66"/>
      <c r="CNK393" s="66"/>
      <c r="CNL393" s="66"/>
      <c r="CNM393" s="66"/>
      <c r="CNN393" s="66"/>
      <c r="CNO393" s="66"/>
      <c r="CNP393" s="66"/>
      <c r="CNQ393" s="66"/>
      <c r="CNR393" s="66"/>
      <c r="CNS393" s="66"/>
      <c r="CNT393" s="66"/>
      <c r="CNU393" s="66"/>
      <c r="CNV393" s="66"/>
      <c r="CNW393" s="66"/>
      <c r="CNX393" s="66"/>
      <c r="CNY393" s="66"/>
      <c r="CNZ393" s="66"/>
      <c r="COA393" s="66"/>
      <c r="COB393" s="66"/>
      <c r="COC393" s="66"/>
      <c r="COD393" s="66"/>
      <c r="COE393" s="66"/>
      <c r="COF393" s="66"/>
      <c r="COG393" s="66"/>
      <c r="COH393" s="66"/>
      <c r="COI393" s="66"/>
      <c r="COJ393" s="66"/>
      <c r="COK393" s="66"/>
      <c r="COL393" s="66"/>
      <c r="COM393" s="66"/>
      <c r="CON393" s="66"/>
      <c r="COO393" s="66"/>
      <c r="COP393" s="66"/>
      <c r="COQ393" s="66"/>
      <c r="COR393" s="66"/>
      <c r="COS393" s="66"/>
      <c r="COT393" s="66"/>
      <c r="COU393" s="66"/>
      <c r="COV393" s="66"/>
      <c r="COW393" s="66"/>
      <c r="COX393" s="66"/>
      <c r="COY393" s="66"/>
      <c r="COZ393" s="66"/>
      <c r="CPA393" s="66"/>
      <c r="CPB393" s="66"/>
      <c r="CPC393" s="66"/>
      <c r="CPD393" s="66"/>
      <c r="CPE393" s="66"/>
      <c r="CPF393" s="66"/>
      <c r="CPG393" s="66"/>
      <c r="CPH393" s="66"/>
      <c r="CPI393" s="66"/>
      <c r="CPJ393" s="66"/>
      <c r="CPK393" s="66"/>
      <c r="CPL393" s="66"/>
      <c r="CPM393" s="66"/>
      <c r="CPN393" s="66"/>
      <c r="CPO393" s="66"/>
      <c r="CPP393" s="66"/>
      <c r="CPQ393" s="66"/>
      <c r="CPR393" s="66"/>
      <c r="CPS393" s="66"/>
      <c r="CPT393" s="66"/>
      <c r="CPU393" s="66"/>
      <c r="CPV393" s="66"/>
      <c r="CPW393" s="66"/>
      <c r="CPX393" s="66"/>
      <c r="CPY393" s="66"/>
      <c r="CPZ393" s="66"/>
      <c r="CQA393" s="66"/>
      <c r="CQB393" s="66"/>
      <c r="CQC393" s="66"/>
      <c r="CQD393" s="66"/>
      <c r="CQE393" s="66"/>
      <c r="CQF393" s="66"/>
      <c r="CQG393" s="66"/>
      <c r="CQH393" s="66"/>
      <c r="CQI393" s="66"/>
      <c r="CQJ393" s="66"/>
      <c r="CQK393" s="66"/>
      <c r="CQL393" s="66"/>
      <c r="CQM393" s="66"/>
      <c r="CQN393" s="66"/>
      <c r="CQO393" s="66"/>
      <c r="CQP393" s="66"/>
      <c r="CQQ393" s="66"/>
      <c r="CQR393" s="66"/>
      <c r="CQS393" s="66"/>
      <c r="CQT393" s="66"/>
      <c r="CQU393" s="66"/>
      <c r="CQV393" s="66"/>
      <c r="CQW393" s="66"/>
      <c r="CQX393" s="66"/>
      <c r="CQY393" s="66"/>
      <c r="CQZ393" s="66"/>
      <c r="CRA393" s="66"/>
      <c r="CRB393" s="66"/>
      <c r="CRC393" s="66"/>
      <c r="CRD393" s="66"/>
      <c r="CRE393" s="66"/>
      <c r="CRF393" s="66"/>
      <c r="CRG393" s="66"/>
      <c r="CRH393" s="66"/>
      <c r="CRI393" s="66"/>
      <c r="CRJ393" s="66"/>
      <c r="CRK393" s="66"/>
      <c r="CRL393" s="66"/>
      <c r="CRM393" s="66"/>
      <c r="CRN393" s="66"/>
      <c r="CRO393" s="66"/>
      <c r="CRP393" s="66"/>
      <c r="CRQ393" s="66"/>
      <c r="CRR393" s="66"/>
      <c r="CRS393" s="66"/>
      <c r="CRT393" s="66"/>
      <c r="CRU393" s="66"/>
      <c r="CRV393" s="66"/>
      <c r="CRW393" s="66"/>
      <c r="CRX393" s="66"/>
      <c r="CRY393" s="66"/>
      <c r="CRZ393" s="66"/>
      <c r="CSA393" s="66"/>
      <c r="CSB393" s="66"/>
      <c r="CSC393" s="66"/>
      <c r="CSD393" s="66"/>
      <c r="CSE393" s="66"/>
      <c r="CSF393" s="66"/>
      <c r="CSG393" s="66"/>
      <c r="CSH393" s="66"/>
      <c r="CSI393" s="66"/>
      <c r="CSJ393" s="66"/>
      <c r="CSK393" s="66"/>
      <c r="CSL393" s="66"/>
      <c r="CSM393" s="66"/>
      <c r="CSN393" s="66"/>
      <c r="CSO393" s="66"/>
      <c r="CSP393" s="66"/>
      <c r="CSQ393" s="66"/>
      <c r="CSR393" s="66"/>
      <c r="CSS393" s="66"/>
      <c r="CST393" s="66"/>
      <c r="CSU393" s="66"/>
      <c r="CSV393" s="66"/>
      <c r="CSW393" s="66"/>
      <c r="CSX393" s="66"/>
      <c r="CSY393" s="66"/>
      <c r="CSZ393" s="66"/>
      <c r="CTA393" s="66"/>
      <c r="CTB393" s="66"/>
      <c r="CTC393" s="66"/>
      <c r="CTD393" s="66"/>
      <c r="CTE393" s="66"/>
      <c r="CTF393" s="66"/>
      <c r="CTG393" s="66"/>
      <c r="CTH393" s="66"/>
      <c r="CTI393" s="66"/>
      <c r="CTJ393" s="66"/>
      <c r="CTK393" s="66"/>
      <c r="CTL393" s="66"/>
      <c r="CTM393" s="66"/>
      <c r="CTN393" s="66"/>
      <c r="CTO393" s="66"/>
      <c r="CTP393" s="66"/>
      <c r="CTQ393" s="66"/>
      <c r="CTR393" s="66"/>
      <c r="CTS393" s="66"/>
      <c r="CTT393" s="66"/>
      <c r="CTU393" s="66"/>
      <c r="CTV393" s="66"/>
      <c r="CTW393" s="66"/>
      <c r="CTX393" s="66"/>
      <c r="CTY393" s="66"/>
      <c r="CTZ393" s="66"/>
      <c r="CUA393" s="66"/>
      <c r="CUB393" s="66"/>
      <c r="CUC393" s="66"/>
      <c r="CUD393" s="66"/>
      <c r="CUE393" s="66"/>
      <c r="CUF393" s="66"/>
      <c r="CUG393" s="66"/>
      <c r="CUH393" s="66"/>
      <c r="CUI393" s="66"/>
      <c r="CUJ393" s="66"/>
      <c r="CUK393" s="66"/>
      <c r="CUL393" s="66"/>
      <c r="CUM393" s="66"/>
      <c r="CUN393" s="66"/>
      <c r="CUO393" s="66"/>
      <c r="CUP393" s="66"/>
      <c r="CUQ393" s="66"/>
      <c r="CUR393" s="66"/>
      <c r="CUS393" s="66"/>
      <c r="CUT393" s="66"/>
      <c r="CUU393" s="66"/>
      <c r="CUV393" s="66"/>
      <c r="CUW393" s="66"/>
      <c r="CUX393" s="66"/>
      <c r="CUY393" s="66"/>
      <c r="CUZ393" s="66"/>
      <c r="CVA393" s="66"/>
      <c r="CVB393" s="66"/>
      <c r="CVC393" s="66"/>
      <c r="CVD393" s="66"/>
      <c r="CVE393" s="66"/>
      <c r="CVF393" s="66"/>
      <c r="CVG393" s="66"/>
      <c r="CVH393" s="66"/>
      <c r="CVI393" s="66"/>
      <c r="CVJ393" s="66"/>
      <c r="CVK393" s="66"/>
      <c r="CVL393" s="66"/>
      <c r="CVM393" s="66"/>
      <c r="CVN393" s="66"/>
      <c r="CVO393" s="66"/>
      <c r="CVP393" s="66"/>
      <c r="CVQ393" s="66"/>
      <c r="CVR393" s="66"/>
      <c r="CVS393" s="66"/>
      <c r="CVT393" s="66"/>
      <c r="CVU393" s="66"/>
      <c r="CVV393" s="66"/>
      <c r="CVW393" s="66"/>
      <c r="CVX393" s="66"/>
      <c r="CVY393" s="66"/>
      <c r="CVZ393" s="66"/>
      <c r="CWA393" s="66"/>
      <c r="CWB393" s="66"/>
      <c r="CWC393" s="66"/>
      <c r="CWD393" s="66"/>
      <c r="CWE393" s="66"/>
      <c r="CWF393" s="66"/>
      <c r="CWG393" s="66"/>
      <c r="CWH393" s="66"/>
      <c r="CWI393" s="66"/>
      <c r="CWJ393" s="66"/>
      <c r="CWK393" s="66"/>
      <c r="CWL393" s="66"/>
      <c r="CWM393" s="66"/>
      <c r="CWN393" s="66"/>
      <c r="CWO393" s="66"/>
      <c r="CWP393" s="66"/>
      <c r="CWQ393" s="66"/>
      <c r="CWR393" s="66"/>
      <c r="CWS393" s="66"/>
      <c r="CWT393" s="66"/>
      <c r="CWU393" s="66"/>
      <c r="CWV393" s="66"/>
      <c r="CWW393" s="66"/>
      <c r="CWX393" s="66"/>
      <c r="CWY393" s="66"/>
      <c r="CWZ393" s="66"/>
      <c r="CXA393" s="66"/>
      <c r="CXB393" s="66"/>
      <c r="CXC393" s="66"/>
      <c r="CXD393" s="66"/>
      <c r="CXE393" s="66"/>
      <c r="CXF393" s="66"/>
      <c r="CXG393" s="66"/>
      <c r="CXH393" s="66"/>
      <c r="CXI393" s="66"/>
      <c r="CXJ393" s="66"/>
      <c r="CXK393" s="66"/>
      <c r="CXL393" s="66"/>
      <c r="CXM393" s="66"/>
      <c r="CXN393" s="66"/>
      <c r="CXO393" s="66"/>
      <c r="CXP393" s="66"/>
      <c r="CXQ393" s="66"/>
      <c r="CXR393" s="66"/>
      <c r="CXS393" s="66"/>
      <c r="CXT393" s="66"/>
      <c r="CXU393" s="66"/>
      <c r="CXV393" s="66"/>
      <c r="CXW393" s="66"/>
      <c r="CXX393" s="66"/>
      <c r="CXY393" s="66"/>
      <c r="CXZ393" s="66"/>
      <c r="CYA393" s="66"/>
      <c r="CYB393" s="66"/>
      <c r="CYC393" s="66"/>
      <c r="CYD393" s="66"/>
      <c r="CYE393" s="66"/>
      <c r="CYF393" s="66"/>
      <c r="CYG393" s="66"/>
      <c r="CYH393" s="66"/>
      <c r="CYI393" s="66"/>
      <c r="CYJ393" s="66"/>
      <c r="CYK393" s="66"/>
      <c r="CYL393" s="66"/>
      <c r="CYM393" s="66"/>
      <c r="CYN393" s="66"/>
      <c r="CYO393" s="66"/>
      <c r="CYP393" s="66"/>
      <c r="CYQ393" s="66"/>
      <c r="CYR393" s="66"/>
      <c r="CYS393" s="66"/>
      <c r="CYT393" s="66"/>
      <c r="CYU393" s="66"/>
      <c r="CYV393" s="66"/>
      <c r="CYW393" s="66"/>
      <c r="CYX393" s="66"/>
      <c r="CYY393" s="66"/>
      <c r="CYZ393" s="66"/>
      <c r="CZA393" s="66"/>
      <c r="CZB393" s="66"/>
      <c r="CZC393" s="66"/>
      <c r="CZD393" s="66"/>
      <c r="CZE393" s="66"/>
      <c r="CZF393" s="66"/>
      <c r="CZG393" s="66"/>
      <c r="CZH393" s="66"/>
      <c r="CZI393" s="66"/>
      <c r="CZJ393" s="66"/>
      <c r="CZK393" s="66"/>
      <c r="CZL393" s="66"/>
      <c r="CZM393" s="66"/>
      <c r="CZN393" s="66"/>
      <c r="CZO393" s="66"/>
      <c r="CZP393" s="66"/>
      <c r="CZQ393" s="66"/>
      <c r="CZR393" s="66"/>
      <c r="CZS393" s="66"/>
      <c r="CZT393" s="66"/>
      <c r="CZU393" s="66"/>
      <c r="CZV393" s="66"/>
      <c r="CZW393" s="66"/>
      <c r="CZX393" s="66"/>
      <c r="CZY393" s="66"/>
      <c r="CZZ393" s="66"/>
      <c r="DAA393" s="66"/>
      <c r="DAB393" s="66"/>
      <c r="DAC393" s="66"/>
      <c r="DAD393" s="66"/>
      <c r="DAE393" s="66"/>
      <c r="DAF393" s="66"/>
      <c r="DAG393" s="66"/>
      <c r="DAH393" s="66"/>
      <c r="DAI393" s="66"/>
      <c r="DAJ393" s="66"/>
      <c r="DAK393" s="66"/>
      <c r="DAL393" s="66"/>
      <c r="DAM393" s="66"/>
      <c r="DAN393" s="66"/>
      <c r="DAO393" s="66"/>
      <c r="DAP393" s="66"/>
      <c r="DAQ393" s="66"/>
      <c r="DAR393" s="66"/>
      <c r="DAS393" s="66"/>
      <c r="DAT393" s="66"/>
      <c r="DAU393" s="66"/>
      <c r="DAV393" s="66"/>
      <c r="DAW393" s="66"/>
      <c r="DAX393" s="66"/>
      <c r="DAY393" s="66"/>
      <c r="DAZ393" s="66"/>
      <c r="DBA393" s="66"/>
      <c r="DBB393" s="66"/>
      <c r="DBC393" s="66"/>
      <c r="DBD393" s="66"/>
      <c r="DBE393" s="66"/>
      <c r="DBF393" s="66"/>
      <c r="DBG393" s="66"/>
      <c r="DBH393" s="66"/>
      <c r="DBI393" s="66"/>
      <c r="DBJ393" s="66"/>
      <c r="DBK393" s="66"/>
      <c r="DBL393" s="66"/>
      <c r="DBM393" s="66"/>
      <c r="DBN393" s="66"/>
      <c r="DBO393" s="66"/>
      <c r="DBP393" s="66"/>
      <c r="DBQ393" s="66"/>
      <c r="DBR393" s="66"/>
      <c r="DBS393" s="66"/>
      <c r="DBT393" s="66"/>
      <c r="DBU393" s="66"/>
      <c r="DBV393" s="66"/>
      <c r="DBW393" s="66"/>
      <c r="DBX393" s="66"/>
      <c r="DBY393" s="66"/>
      <c r="DBZ393" s="66"/>
      <c r="DCA393" s="66"/>
      <c r="DCB393" s="66"/>
      <c r="DCC393" s="66"/>
      <c r="DCD393" s="66"/>
      <c r="DCE393" s="66"/>
      <c r="DCF393" s="66"/>
      <c r="DCG393" s="66"/>
      <c r="DCH393" s="66"/>
      <c r="DCI393" s="66"/>
      <c r="DCJ393" s="66"/>
      <c r="DCK393" s="66"/>
      <c r="DCL393" s="66"/>
      <c r="DCM393" s="66"/>
      <c r="DCN393" s="66"/>
      <c r="DCO393" s="66"/>
      <c r="DCP393" s="66"/>
      <c r="DCQ393" s="66"/>
      <c r="DCR393" s="66"/>
      <c r="DCS393" s="66"/>
      <c r="DCT393" s="66"/>
      <c r="DCU393" s="66"/>
      <c r="DCV393" s="66"/>
      <c r="DCW393" s="66"/>
      <c r="DCX393" s="66"/>
      <c r="DCY393" s="66"/>
      <c r="DCZ393" s="66"/>
      <c r="DDA393" s="66"/>
      <c r="DDB393" s="66"/>
      <c r="DDC393" s="66"/>
      <c r="DDD393" s="66"/>
      <c r="DDE393" s="66"/>
      <c r="DDF393" s="66"/>
      <c r="DDG393" s="66"/>
      <c r="DDH393" s="66"/>
      <c r="DDI393" s="66"/>
      <c r="DDJ393" s="66"/>
      <c r="DDK393" s="66"/>
      <c r="DDL393" s="66"/>
      <c r="DDM393" s="66"/>
      <c r="DDN393" s="66"/>
      <c r="DDO393" s="66"/>
      <c r="DDP393" s="66"/>
      <c r="DDQ393" s="66"/>
      <c r="DDR393" s="66"/>
      <c r="DDS393" s="66"/>
      <c r="DDT393" s="66"/>
      <c r="DDU393" s="66"/>
      <c r="DDV393" s="66"/>
      <c r="DDW393" s="66"/>
      <c r="DDX393" s="66"/>
      <c r="DDY393" s="66"/>
      <c r="DDZ393" s="66"/>
      <c r="DEA393" s="66"/>
      <c r="DEB393" s="66"/>
      <c r="DEC393" s="66"/>
      <c r="DED393" s="66"/>
      <c r="DEE393" s="66"/>
      <c r="DEF393" s="66"/>
      <c r="DEG393" s="66"/>
      <c r="DEH393" s="66"/>
      <c r="DEI393" s="66"/>
      <c r="DEJ393" s="66"/>
      <c r="DEK393" s="66"/>
      <c r="DEL393" s="66"/>
      <c r="DEM393" s="66"/>
      <c r="DEN393" s="66"/>
      <c r="DEO393" s="66"/>
      <c r="DEP393" s="66"/>
      <c r="DEQ393" s="66"/>
      <c r="DER393" s="66"/>
      <c r="DES393" s="66"/>
      <c r="DET393" s="66"/>
      <c r="DEU393" s="66"/>
      <c r="DEV393" s="66"/>
      <c r="DEW393" s="66"/>
      <c r="DEX393" s="66"/>
      <c r="DEY393" s="66"/>
      <c r="DEZ393" s="66"/>
      <c r="DFA393" s="66"/>
      <c r="DFB393" s="66"/>
      <c r="DFC393" s="66"/>
      <c r="DFD393" s="66"/>
      <c r="DFE393" s="66"/>
      <c r="DFF393" s="66"/>
      <c r="DFG393" s="66"/>
      <c r="DFH393" s="66"/>
      <c r="DFI393" s="66"/>
      <c r="DFJ393" s="66"/>
      <c r="DFK393" s="66"/>
      <c r="DFL393" s="66"/>
      <c r="DFM393" s="66"/>
      <c r="DFN393" s="66"/>
      <c r="DFO393" s="66"/>
      <c r="DFP393" s="66"/>
      <c r="DFQ393" s="66"/>
      <c r="DFR393" s="66"/>
      <c r="DFS393" s="66"/>
      <c r="DFT393" s="66"/>
      <c r="DFU393" s="66"/>
      <c r="DFV393" s="66"/>
      <c r="DFW393" s="66"/>
      <c r="DFX393" s="66"/>
      <c r="DFY393" s="66"/>
      <c r="DFZ393" s="66"/>
      <c r="DGA393" s="66"/>
      <c r="DGB393" s="66"/>
      <c r="DGC393" s="66"/>
      <c r="DGD393" s="66"/>
      <c r="DGE393" s="66"/>
      <c r="DGF393" s="66"/>
      <c r="DGG393" s="66"/>
      <c r="DGH393" s="66"/>
      <c r="DGI393" s="66"/>
      <c r="DGJ393" s="66"/>
      <c r="DGK393" s="66"/>
      <c r="DGL393" s="66"/>
      <c r="DGM393" s="66"/>
      <c r="DGN393" s="66"/>
      <c r="DGO393" s="66"/>
      <c r="DGP393" s="66"/>
      <c r="DGQ393" s="66"/>
      <c r="DGR393" s="66"/>
      <c r="DGS393" s="66"/>
      <c r="DGT393" s="66"/>
      <c r="DGU393" s="66"/>
      <c r="DGV393" s="66"/>
      <c r="DGW393" s="66"/>
      <c r="DGX393" s="66"/>
      <c r="DGY393" s="66"/>
      <c r="DGZ393" s="66"/>
      <c r="DHA393" s="66"/>
      <c r="DHB393" s="66"/>
      <c r="DHC393" s="66"/>
      <c r="DHD393" s="66"/>
      <c r="DHE393" s="66"/>
      <c r="DHF393" s="66"/>
      <c r="DHG393" s="66"/>
      <c r="DHH393" s="66"/>
      <c r="DHI393" s="66"/>
      <c r="DHJ393" s="66"/>
      <c r="DHK393" s="66"/>
      <c r="DHL393" s="66"/>
      <c r="DHM393" s="66"/>
      <c r="DHN393" s="66"/>
      <c r="DHO393" s="66"/>
      <c r="DHP393" s="66"/>
      <c r="DHQ393" s="66"/>
      <c r="DHR393" s="66"/>
      <c r="DHS393" s="66"/>
      <c r="DHT393" s="66"/>
      <c r="DHU393" s="66"/>
      <c r="DHV393" s="66"/>
      <c r="DHW393" s="66"/>
      <c r="DHX393" s="66"/>
      <c r="DHY393" s="66"/>
      <c r="DHZ393" s="66"/>
      <c r="DIA393" s="66"/>
      <c r="DIB393" s="66"/>
      <c r="DIC393" s="66"/>
      <c r="DID393" s="66"/>
      <c r="DIE393" s="66"/>
      <c r="DIF393" s="66"/>
      <c r="DIG393" s="66"/>
      <c r="DIH393" s="66"/>
      <c r="DII393" s="66"/>
      <c r="DIJ393" s="66"/>
      <c r="DIK393" s="66"/>
      <c r="DIL393" s="66"/>
      <c r="DIM393" s="66"/>
      <c r="DIN393" s="66"/>
      <c r="DIO393" s="66"/>
      <c r="DIP393" s="66"/>
      <c r="DIQ393" s="66"/>
      <c r="DIR393" s="66"/>
      <c r="DIS393" s="66"/>
      <c r="DIT393" s="66"/>
      <c r="DIU393" s="66"/>
      <c r="DIV393" s="66"/>
      <c r="DIW393" s="66"/>
      <c r="DIX393" s="66"/>
      <c r="DIY393" s="66"/>
      <c r="DIZ393" s="66"/>
      <c r="DJA393" s="66"/>
      <c r="DJB393" s="66"/>
      <c r="DJC393" s="66"/>
      <c r="DJD393" s="66"/>
      <c r="DJE393" s="66"/>
      <c r="DJF393" s="66"/>
      <c r="DJG393" s="66"/>
      <c r="DJH393" s="66"/>
      <c r="DJI393" s="66"/>
      <c r="DJJ393" s="66"/>
      <c r="DJK393" s="66"/>
      <c r="DJL393" s="66"/>
      <c r="DJM393" s="66"/>
      <c r="DJN393" s="66"/>
      <c r="DJO393" s="66"/>
      <c r="DJP393" s="66"/>
      <c r="DJQ393" s="66"/>
      <c r="DJR393" s="66"/>
      <c r="DJS393" s="66"/>
      <c r="DJT393" s="66"/>
      <c r="DJU393" s="66"/>
      <c r="DJV393" s="66"/>
      <c r="DJW393" s="66"/>
      <c r="DJX393" s="66"/>
      <c r="DJY393" s="66"/>
      <c r="DJZ393" s="66"/>
      <c r="DKA393" s="66"/>
      <c r="DKB393" s="66"/>
      <c r="DKC393" s="66"/>
      <c r="DKD393" s="66"/>
      <c r="DKE393" s="66"/>
      <c r="DKF393" s="66"/>
      <c r="DKG393" s="66"/>
      <c r="DKH393" s="66"/>
      <c r="DKI393" s="66"/>
      <c r="DKJ393" s="66"/>
      <c r="DKK393" s="66"/>
      <c r="DKL393" s="66"/>
      <c r="DKM393" s="66"/>
      <c r="DKN393" s="66"/>
      <c r="DKO393" s="66"/>
      <c r="DKP393" s="66"/>
      <c r="DKQ393" s="66"/>
      <c r="DKR393" s="66"/>
      <c r="DKS393" s="66"/>
      <c r="DKT393" s="66"/>
      <c r="DKU393" s="66"/>
      <c r="DKV393" s="66"/>
      <c r="DKW393" s="66"/>
      <c r="DKX393" s="66"/>
      <c r="DKY393" s="66"/>
      <c r="DKZ393" s="66"/>
      <c r="DLA393" s="66"/>
      <c r="DLB393" s="66"/>
      <c r="DLC393" s="66"/>
      <c r="DLD393" s="66"/>
      <c r="DLE393" s="66"/>
      <c r="DLF393" s="66"/>
      <c r="DLG393" s="66"/>
      <c r="DLH393" s="66"/>
      <c r="DLI393" s="66"/>
      <c r="DLJ393" s="66"/>
      <c r="DLK393" s="66"/>
      <c r="DLL393" s="66"/>
      <c r="DLM393" s="66"/>
      <c r="DLN393" s="66"/>
      <c r="DLO393" s="66"/>
      <c r="DLP393" s="66"/>
      <c r="DLQ393" s="66"/>
      <c r="DLR393" s="66"/>
      <c r="DLS393" s="66"/>
      <c r="DLT393" s="66"/>
      <c r="DLU393" s="66"/>
      <c r="DLV393" s="66"/>
      <c r="DLW393" s="66"/>
      <c r="DLX393" s="66"/>
      <c r="DLY393" s="66"/>
      <c r="DLZ393" s="66"/>
      <c r="DMA393" s="66"/>
      <c r="DMB393" s="66"/>
      <c r="DMC393" s="66"/>
      <c r="DMD393" s="66"/>
      <c r="DME393" s="66"/>
      <c r="DMF393" s="66"/>
      <c r="DMG393" s="66"/>
      <c r="DMH393" s="66"/>
      <c r="DMI393" s="66"/>
      <c r="DMJ393" s="66"/>
      <c r="DMK393" s="66"/>
      <c r="DML393" s="66"/>
      <c r="DMM393" s="66"/>
      <c r="DMN393" s="66"/>
      <c r="DMO393" s="66"/>
      <c r="DMP393" s="66"/>
      <c r="DMQ393" s="66"/>
      <c r="DMR393" s="66"/>
      <c r="DMS393" s="66"/>
      <c r="DMT393" s="66"/>
      <c r="DMU393" s="66"/>
      <c r="DMV393" s="66"/>
      <c r="DMW393" s="66"/>
      <c r="DMX393" s="66"/>
      <c r="DMY393" s="66"/>
      <c r="DMZ393" s="66"/>
      <c r="DNA393" s="66"/>
      <c r="DNB393" s="66"/>
      <c r="DNC393" s="66"/>
      <c r="DND393" s="66"/>
      <c r="DNE393" s="66"/>
      <c r="DNF393" s="66"/>
      <c r="DNG393" s="66"/>
      <c r="DNH393" s="66"/>
      <c r="DNI393" s="66"/>
      <c r="DNJ393" s="66"/>
      <c r="DNK393" s="66"/>
      <c r="DNL393" s="66"/>
      <c r="DNM393" s="66"/>
      <c r="DNN393" s="66"/>
      <c r="DNO393" s="66"/>
      <c r="DNP393" s="66"/>
      <c r="DNQ393" s="66"/>
      <c r="DNR393" s="66"/>
      <c r="DNS393" s="66"/>
      <c r="DNT393" s="66"/>
      <c r="DNU393" s="66"/>
      <c r="DNV393" s="66"/>
      <c r="DNW393" s="66"/>
      <c r="DNX393" s="66"/>
      <c r="DNY393" s="66"/>
      <c r="DNZ393" s="66"/>
      <c r="DOA393" s="66"/>
      <c r="DOB393" s="66"/>
      <c r="DOC393" s="66"/>
      <c r="DOD393" s="66"/>
      <c r="DOE393" s="66"/>
      <c r="DOF393" s="66"/>
      <c r="DOG393" s="66"/>
      <c r="DOH393" s="66"/>
      <c r="DOI393" s="66"/>
      <c r="DOJ393" s="66"/>
      <c r="DOK393" s="66"/>
      <c r="DOL393" s="66"/>
      <c r="DOM393" s="66"/>
      <c r="DON393" s="66"/>
      <c r="DOO393" s="66"/>
      <c r="DOP393" s="66"/>
      <c r="DOQ393" s="66"/>
      <c r="DOR393" s="66"/>
      <c r="DOS393" s="66"/>
      <c r="DOT393" s="66"/>
      <c r="DOU393" s="66"/>
      <c r="DOV393" s="66"/>
      <c r="DOW393" s="66"/>
      <c r="DOX393" s="66"/>
      <c r="DOY393" s="66"/>
      <c r="DOZ393" s="66"/>
      <c r="DPA393" s="66"/>
      <c r="DPB393" s="66"/>
      <c r="DPC393" s="66"/>
      <c r="DPD393" s="66"/>
      <c r="DPE393" s="66"/>
      <c r="DPF393" s="66"/>
      <c r="DPG393" s="66"/>
      <c r="DPH393" s="66"/>
      <c r="DPI393" s="66"/>
      <c r="DPJ393" s="66"/>
      <c r="DPK393" s="66"/>
      <c r="DPL393" s="66"/>
      <c r="DPM393" s="66"/>
      <c r="DPN393" s="66"/>
      <c r="DPO393" s="66"/>
      <c r="DPP393" s="66"/>
      <c r="DPQ393" s="66"/>
      <c r="DPR393" s="66"/>
      <c r="DPS393" s="66"/>
      <c r="DPT393" s="66"/>
      <c r="DPU393" s="66"/>
      <c r="DPV393" s="66"/>
      <c r="DPW393" s="66"/>
      <c r="DPX393" s="66"/>
      <c r="DPY393" s="66"/>
      <c r="DPZ393" s="66"/>
      <c r="DQA393" s="66"/>
      <c r="DQB393" s="66"/>
      <c r="DQC393" s="66"/>
      <c r="DQD393" s="66"/>
      <c r="DQE393" s="66"/>
      <c r="DQF393" s="66"/>
      <c r="DQG393" s="66"/>
      <c r="DQH393" s="66"/>
      <c r="DQI393" s="66"/>
      <c r="DQJ393" s="66"/>
      <c r="DQK393" s="66"/>
      <c r="DQL393" s="66"/>
      <c r="DQM393" s="66"/>
      <c r="DQN393" s="66"/>
      <c r="DQO393" s="66"/>
      <c r="DQP393" s="66"/>
      <c r="DQQ393" s="66"/>
      <c r="DQR393" s="66"/>
      <c r="DQS393" s="66"/>
      <c r="DQT393" s="66"/>
      <c r="DQU393" s="66"/>
      <c r="DQV393" s="66"/>
      <c r="DQW393" s="66"/>
      <c r="DQX393" s="66"/>
      <c r="DQY393" s="66"/>
      <c r="DQZ393" s="66"/>
      <c r="DRA393" s="66"/>
      <c r="DRB393" s="66"/>
      <c r="DRC393" s="66"/>
      <c r="DRD393" s="66"/>
      <c r="DRE393" s="66"/>
      <c r="DRF393" s="66"/>
      <c r="DRG393" s="66"/>
      <c r="DRH393" s="66"/>
      <c r="DRI393" s="66"/>
      <c r="DRJ393" s="66"/>
      <c r="DRK393" s="66"/>
      <c r="DRL393" s="66"/>
      <c r="DRM393" s="66"/>
      <c r="DRN393" s="66"/>
      <c r="DRO393" s="66"/>
      <c r="DRP393" s="66"/>
      <c r="DRQ393" s="66"/>
      <c r="DRR393" s="66"/>
      <c r="DRS393" s="66"/>
      <c r="DRT393" s="66"/>
      <c r="DRU393" s="66"/>
      <c r="DRV393" s="66"/>
      <c r="DRW393" s="66"/>
      <c r="DRX393" s="66"/>
      <c r="DRY393" s="66"/>
      <c r="DRZ393" s="66"/>
      <c r="DSA393" s="66"/>
      <c r="DSB393" s="66"/>
      <c r="DSC393" s="66"/>
      <c r="DSD393" s="66"/>
      <c r="DSE393" s="66"/>
      <c r="DSF393" s="66"/>
      <c r="DSG393" s="66"/>
      <c r="DSH393" s="66"/>
      <c r="DSI393" s="66"/>
      <c r="DSJ393" s="66"/>
      <c r="DSK393" s="66"/>
      <c r="DSL393" s="66"/>
      <c r="DSM393" s="66"/>
      <c r="DSN393" s="66"/>
      <c r="DSO393" s="66"/>
      <c r="DSP393" s="66"/>
      <c r="DSQ393" s="66"/>
      <c r="DSR393" s="66"/>
      <c r="DSS393" s="66"/>
      <c r="DST393" s="66"/>
      <c r="DSU393" s="66"/>
      <c r="DSV393" s="66"/>
      <c r="DSW393" s="66"/>
      <c r="DSX393" s="66"/>
      <c r="DSY393" s="66"/>
      <c r="DSZ393" s="66"/>
      <c r="DTA393" s="66"/>
      <c r="DTB393" s="66"/>
      <c r="DTC393" s="66"/>
      <c r="DTD393" s="66"/>
      <c r="DTE393" s="66"/>
      <c r="DTF393" s="66"/>
      <c r="DTG393" s="66"/>
      <c r="DTH393" s="66"/>
      <c r="DTI393" s="66"/>
      <c r="DTJ393" s="66"/>
      <c r="DTK393" s="66"/>
      <c r="DTL393" s="66"/>
      <c r="DTM393" s="66"/>
      <c r="DTN393" s="66"/>
      <c r="DTO393" s="66"/>
      <c r="DTP393" s="66"/>
      <c r="DTQ393" s="66"/>
      <c r="DTR393" s="66"/>
      <c r="DTS393" s="66"/>
      <c r="DTT393" s="66"/>
      <c r="DTU393" s="66"/>
      <c r="DTV393" s="66"/>
      <c r="DTW393" s="66"/>
      <c r="DTX393" s="66"/>
      <c r="DTY393" s="66"/>
      <c r="DTZ393" s="66"/>
      <c r="DUA393" s="66"/>
      <c r="DUB393" s="66"/>
      <c r="DUC393" s="66"/>
      <c r="DUD393" s="66"/>
      <c r="DUE393" s="66"/>
      <c r="DUF393" s="66"/>
      <c r="DUG393" s="66"/>
      <c r="DUH393" s="66"/>
      <c r="DUI393" s="66"/>
      <c r="DUJ393" s="66"/>
      <c r="DUK393" s="66"/>
      <c r="DUL393" s="66"/>
      <c r="DUM393" s="66"/>
      <c r="DUN393" s="66"/>
      <c r="DUO393" s="66"/>
      <c r="DUP393" s="66"/>
      <c r="DUQ393" s="66"/>
      <c r="DUR393" s="66"/>
      <c r="DUS393" s="66"/>
      <c r="DUT393" s="66"/>
      <c r="DUU393" s="66"/>
      <c r="DUV393" s="66"/>
      <c r="DUW393" s="66"/>
      <c r="DUX393" s="66"/>
      <c r="DUY393" s="66"/>
      <c r="DUZ393" s="66"/>
      <c r="DVA393" s="66"/>
      <c r="DVB393" s="66"/>
      <c r="DVC393" s="66"/>
      <c r="DVD393" s="66"/>
      <c r="DVE393" s="66"/>
      <c r="DVF393" s="66"/>
      <c r="DVG393" s="66"/>
      <c r="DVH393" s="66"/>
      <c r="DVI393" s="66"/>
      <c r="DVJ393" s="66"/>
      <c r="DVK393" s="66"/>
      <c r="DVL393" s="66"/>
      <c r="DVM393" s="66"/>
      <c r="DVN393" s="66"/>
      <c r="DVO393" s="66"/>
      <c r="DVP393" s="66"/>
      <c r="DVQ393" s="66"/>
      <c r="DVR393" s="66"/>
      <c r="DVS393" s="66"/>
      <c r="DVT393" s="66"/>
      <c r="DVU393" s="66"/>
      <c r="DVV393" s="66"/>
      <c r="DVW393" s="66"/>
      <c r="DVX393" s="66"/>
      <c r="DVY393" s="66"/>
      <c r="DVZ393" s="66"/>
      <c r="DWA393" s="66"/>
      <c r="DWB393" s="66"/>
      <c r="DWC393" s="66"/>
      <c r="DWD393" s="66"/>
      <c r="DWE393" s="66"/>
      <c r="DWF393" s="66"/>
      <c r="DWG393" s="66"/>
      <c r="DWH393" s="66"/>
      <c r="DWI393" s="66"/>
      <c r="DWJ393" s="66"/>
      <c r="DWK393" s="66"/>
      <c r="DWL393" s="66"/>
      <c r="DWM393" s="66"/>
      <c r="DWN393" s="66"/>
      <c r="DWO393" s="66"/>
      <c r="DWP393" s="66"/>
      <c r="DWQ393" s="66"/>
      <c r="DWR393" s="66"/>
      <c r="DWS393" s="66"/>
      <c r="DWT393" s="66"/>
      <c r="DWU393" s="66"/>
      <c r="DWV393" s="66"/>
      <c r="DWW393" s="66"/>
      <c r="DWX393" s="66"/>
      <c r="DWY393" s="66"/>
      <c r="DWZ393" s="66"/>
      <c r="DXA393" s="66"/>
      <c r="DXB393" s="66"/>
      <c r="DXC393" s="66"/>
      <c r="DXD393" s="66"/>
      <c r="DXE393" s="66"/>
      <c r="DXF393" s="66"/>
      <c r="DXG393" s="66"/>
      <c r="DXH393" s="66"/>
      <c r="DXI393" s="66"/>
      <c r="DXJ393" s="66"/>
      <c r="DXK393" s="66"/>
      <c r="DXL393" s="66"/>
      <c r="DXM393" s="66"/>
      <c r="DXN393" s="66"/>
      <c r="DXO393" s="66"/>
      <c r="DXP393" s="66"/>
      <c r="DXQ393" s="66"/>
      <c r="DXR393" s="66"/>
      <c r="DXS393" s="66"/>
      <c r="DXT393" s="66"/>
      <c r="DXU393" s="66"/>
      <c r="DXV393" s="66"/>
      <c r="DXW393" s="66"/>
      <c r="DXX393" s="66"/>
      <c r="DXY393" s="66"/>
      <c r="DXZ393" s="66"/>
      <c r="DYA393" s="66"/>
      <c r="DYB393" s="66"/>
      <c r="DYC393" s="66"/>
      <c r="DYD393" s="66"/>
      <c r="DYE393" s="66"/>
      <c r="DYF393" s="66"/>
      <c r="DYG393" s="66"/>
      <c r="DYH393" s="66"/>
      <c r="DYI393" s="66"/>
      <c r="DYJ393" s="66"/>
      <c r="DYK393" s="66"/>
      <c r="DYL393" s="66"/>
      <c r="DYM393" s="66"/>
      <c r="DYN393" s="66"/>
      <c r="DYO393" s="66"/>
      <c r="DYP393" s="66"/>
      <c r="DYQ393" s="66"/>
      <c r="DYR393" s="66"/>
      <c r="DYS393" s="66"/>
      <c r="DYT393" s="66"/>
      <c r="DYU393" s="66"/>
      <c r="DYV393" s="66"/>
      <c r="DYW393" s="66"/>
      <c r="DYX393" s="66"/>
      <c r="DYY393" s="66"/>
      <c r="DYZ393" s="66"/>
      <c r="DZA393" s="66"/>
      <c r="DZB393" s="66"/>
      <c r="DZC393" s="66"/>
      <c r="DZD393" s="66"/>
      <c r="DZE393" s="66"/>
      <c r="DZF393" s="66"/>
      <c r="DZG393" s="66"/>
      <c r="DZH393" s="66"/>
      <c r="DZI393" s="66"/>
      <c r="DZJ393" s="66"/>
      <c r="DZK393" s="66"/>
      <c r="DZL393" s="66"/>
      <c r="DZM393" s="66"/>
      <c r="DZN393" s="66"/>
      <c r="DZO393" s="66"/>
      <c r="DZP393" s="66"/>
      <c r="DZQ393" s="66"/>
      <c r="DZR393" s="66"/>
      <c r="DZS393" s="66"/>
      <c r="DZT393" s="66"/>
      <c r="DZU393" s="66"/>
      <c r="DZV393" s="66"/>
      <c r="DZW393" s="66"/>
      <c r="DZX393" s="66"/>
      <c r="DZY393" s="66"/>
      <c r="DZZ393" s="66"/>
      <c r="EAA393" s="66"/>
      <c r="EAB393" s="66"/>
      <c r="EAC393" s="66"/>
      <c r="EAD393" s="66"/>
      <c r="EAE393" s="66"/>
      <c r="EAF393" s="66"/>
      <c r="EAG393" s="66"/>
      <c r="EAH393" s="66"/>
      <c r="EAI393" s="66"/>
      <c r="EAJ393" s="66"/>
      <c r="EAK393" s="66"/>
      <c r="EAL393" s="66"/>
      <c r="EAM393" s="66"/>
      <c r="EAN393" s="66"/>
      <c r="EAO393" s="66"/>
      <c r="EAP393" s="66"/>
      <c r="EAQ393" s="66"/>
      <c r="EAR393" s="66"/>
      <c r="EAS393" s="66"/>
      <c r="EAT393" s="66"/>
      <c r="EAU393" s="66"/>
      <c r="EAV393" s="66"/>
      <c r="EAW393" s="66"/>
      <c r="EAX393" s="66"/>
      <c r="EAY393" s="66"/>
      <c r="EAZ393" s="66"/>
      <c r="EBA393" s="66"/>
      <c r="EBB393" s="66"/>
      <c r="EBC393" s="66"/>
      <c r="EBD393" s="66"/>
      <c r="EBE393" s="66"/>
      <c r="EBF393" s="66"/>
      <c r="EBG393" s="66"/>
      <c r="EBH393" s="66"/>
      <c r="EBI393" s="66"/>
      <c r="EBJ393" s="66"/>
      <c r="EBK393" s="66"/>
      <c r="EBL393" s="66"/>
      <c r="EBM393" s="66"/>
      <c r="EBN393" s="66"/>
      <c r="EBO393" s="66"/>
      <c r="EBP393" s="66"/>
      <c r="EBQ393" s="66"/>
      <c r="EBR393" s="66"/>
      <c r="EBS393" s="66"/>
      <c r="EBT393" s="66"/>
      <c r="EBU393" s="66"/>
      <c r="EBV393" s="66"/>
      <c r="EBW393" s="66"/>
      <c r="EBX393" s="66"/>
      <c r="EBY393" s="66"/>
      <c r="EBZ393" s="66"/>
      <c r="ECA393" s="66"/>
      <c r="ECB393" s="66"/>
      <c r="ECC393" s="66"/>
      <c r="ECD393" s="66"/>
      <c r="ECE393" s="66"/>
      <c r="ECF393" s="66"/>
      <c r="ECG393" s="66"/>
      <c r="ECH393" s="66"/>
      <c r="ECI393" s="66"/>
      <c r="ECJ393" s="66"/>
      <c r="ECK393" s="66"/>
      <c r="ECL393" s="66"/>
      <c r="ECM393" s="66"/>
      <c r="ECN393" s="66"/>
      <c r="ECO393" s="66"/>
      <c r="ECP393" s="66"/>
      <c r="ECQ393" s="66"/>
      <c r="ECR393" s="66"/>
      <c r="ECS393" s="66"/>
      <c r="ECT393" s="66"/>
      <c r="ECU393" s="66"/>
      <c r="ECV393" s="66"/>
      <c r="ECW393" s="66"/>
      <c r="ECX393" s="66"/>
      <c r="ECY393" s="66"/>
      <c r="ECZ393" s="66"/>
      <c r="EDA393" s="66"/>
      <c r="EDB393" s="66"/>
      <c r="EDC393" s="66"/>
      <c r="EDD393" s="66"/>
      <c r="EDE393" s="66"/>
      <c r="EDF393" s="66"/>
      <c r="EDG393" s="66"/>
      <c r="EDH393" s="66"/>
      <c r="EDI393" s="66"/>
      <c r="EDJ393" s="66"/>
      <c r="EDK393" s="66"/>
      <c r="EDL393" s="66"/>
      <c r="EDM393" s="66"/>
      <c r="EDN393" s="66"/>
      <c r="EDO393" s="66"/>
      <c r="EDP393" s="66"/>
      <c r="EDQ393" s="66"/>
      <c r="EDR393" s="66"/>
      <c r="EDS393" s="66"/>
      <c r="EDT393" s="66"/>
      <c r="EDU393" s="66"/>
      <c r="EDV393" s="66"/>
      <c r="EDW393" s="66"/>
      <c r="EDX393" s="66"/>
      <c r="EDY393" s="66"/>
      <c r="EDZ393" s="66"/>
      <c r="EEA393" s="66"/>
      <c r="EEB393" s="66"/>
      <c r="EEC393" s="66"/>
      <c r="EED393" s="66"/>
      <c r="EEE393" s="66"/>
      <c r="EEF393" s="66"/>
      <c r="EEG393" s="66"/>
      <c r="EEH393" s="66"/>
      <c r="EEI393" s="66"/>
      <c r="EEJ393" s="66"/>
      <c r="EEK393" s="66"/>
      <c r="EEL393" s="66"/>
      <c r="EEM393" s="66"/>
      <c r="EEN393" s="66"/>
      <c r="EEO393" s="66"/>
      <c r="EEP393" s="66"/>
      <c r="EEQ393" s="66"/>
      <c r="EER393" s="66"/>
      <c r="EES393" s="66"/>
      <c r="EET393" s="66"/>
      <c r="EEU393" s="66"/>
      <c r="EEV393" s="66"/>
      <c r="EEW393" s="66"/>
      <c r="EEX393" s="66"/>
      <c r="EEY393" s="66"/>
      <c r="EEZ393" s="66"/>
      <c r="EFA393" s="66"/>
      <c r="EFB393" s="66"/>
      <c r="EFC393" s="66"/>
      <c r="EFD393" s="66"/>
      <c r="EFE393" s="66"/>
      <c r="EFF393" s="66"/>
      <c r="EFG393" s="66"/>
      <c r="EFH393" s="66"/>
      <c r="EFI393" s="66"/>
      <c r="EFJ393" s="66"/>
      <c r="EFK393" s="66"/>
      <c r="EFL393" s="66"/>
      <c r="EFM393" s="66"/>
      <c r="EFN393" s="66"/>
      <c r="EFO393" s="66"/>
      <c r="EFP393" s="66"/>
      <c r="EFQ393" s="66"/>
      <c r="EFR393" s="66"/>
      <c r="EFS393" s="66"/>
      <c r="EFT393" s="66"/>
      <c r="EFU393" s="66"/>
      <c r="EFV393" s="66"/>
      <c r="EFW393" s="66"/>
      <c r="EFX393" s="66"/>
      <c r="EFY393" s="66"/>
      <c r="EFZ393" s="66"/>
      <c r="EGA393" s="66"/>
      <c r="EGB393" s="66"/>
      <c r="EGC393" s="66"/>
      <c r="EGD393" s="66"/>
      <c r="EGE393" s="66"/>
      <c r="EGF393" s="66"/>
      <c r="EGG393" s="66"/>
      <c r="EGH393" s="66"/>
      <c r="EGI393" s="66"/>
      <c r="EGJ393" s="66"/>
      <c r="EGK393" s="66"/>
      <c r="EGL393" s="66"/>
      <c r="EGM393" s="66"/>
      <c r="EGN393" s="66"/>
      <c r="EGO393" s="66"/>
      <c r="EGP393" s="66"/>
      <c r="EGQ393" s="66"/>
      <c r="EGR393" s="66"/>
      <c r="EGS393" s="66"/>
      <c r="EGT393" s="66"/>
      <c r="EGU393" s="66"/>
      <c r="EGV393" s="66"/>
      <c r="EGW393" s="66"/>
      <c r="EGX393" s="66"/>
      <c r="EGY393" s="66"/>
      <c r="EGZ393" s="66"/>
      <c r="EHA393" s="66"/>
      <c r="EHB393" s="66"/>
      <c r="EHC393" s="66"/>
      <c r="EHD393" s="66"/>
      <c r="EHE393" s="66"/>
      <c r="EHF393" s="66"/>
      <c r="EHG393" s="66"/>
      <c r="EHH393" s="66"/>
      <c r="EHI393" s="66"/>
      <c r="EHJ393" s="66"/>
      <c r="EHK393" s="66"/>
      <c r="EHL393" s="66"/>
      <c r="EHM393" s="66"/>
      <c r="EHN393" s="66"/>
      <c r="EHO393" s="66"/>
      <c r="EHP393" s="66"/>
      <c r="EHQ393" s="66"/>
      <c r="EHR393" s="66"/>
      <c r="EHS393" s="66"/>
      <c r="EHT393" s="66"/>
      <c r="EHU393" s="66"/>
      <c r="EHV393" s="66"/>
      <c r="EHW393" s="66"/>
      <c r="EHX393" s="66"/>
      <c r="EHY393" s="66"/>
      <c r="EHZ393" s="66"/>
      <c r="EIA393" s="66"/>
      <c r="EIB393" s="66"/>
      <c r="EIC393" s="66"/>
      <c r="EID393" s="66"/>
      <c r="EIE393" s="66"/>
      <c r="EIF393" s="66"/>
      <c r="EIG393" s="66"/>
      <c r="EIH393" s="66"/>
      <c r="EII393" s="66"/>
      <c r="EIJ393" s="66"/>
      <c r="EIK393" s="66"/>
      <c r="EIL393" s="66"/>
      <c r="EIM393" s="66"/>
      <c r="EIN393" s="66"/>
      <c r="EIO393" s="66"/>
      <c r="EIP393" s="66"/>
      <c r="EIQ393" s="66"/>
      <c r="EIR393" s="66"/>
      <c r="EIS393" s="66"/>
      <c r="EIT393" s="66"/>
      <c r="EIU393" s="66"/>
      <c r="EIV393" s="66"/>
      <c r="EIW393" s="66"/>
      <c r="EIX393" s="66"/>
      <c r="EIY393" s="66"/>
      <c r="EIZ393" s="66"/>
      <c r="EJA393" s="66"/>
      <c r="EJB393" s="66"/>
      <c r="EJC393" s="66"/>
      <c r="EJD393" s="66"/>
      <c r="EJE393" s="66"/>
      <c r="EJF393" s="66"/>
      <c r="EJG393" s="66"/>
      <c r="EJH393" s="66"/>
      <c r="EJI393" s="66"/>
      <c r="EJJ393" s="66"/>
      <c r="EJK393" s="66"/>
      <c r="EJL393" s="66"/>
      <c r="EJM393" s="66"/>
      <c r="EJN393" s="66"/>
      <c r="EJO393" s="66"/>
      <c r="EJP393" s="66"/>
      <c r="EJQ393" s="66"/>
      <c r="EJR393" s="66"/>
      <c r="EJS393" s="66"/>
      <c r="EJT393" s="66"/>
      <c r="EJU393" s="66"/>
      <c r="EJV393" s="66"/>
      <c r="EJW393" s="66"/>
      <c r="EJX393" s="66"/>
      <c r="EJY393" s="66"/>
      <c r="EJZ393" s="66"/>
      <c r="EKA393" s="66"/>
      <c r="EKB393" s="66"/>
      <c r="EKC393" s="66"/>
      <c r="EKD393" s="66"/>
      <c r="EKE393" s="66"/>
      <c r="EKF393" s="66"/>
      <c r="EKG393" s="66"/>
      <c r="EKH393" s="66"/>
      <c r="EKI393" s="66"/>
      <c r="EKJ393" s="66"/>
      <c r="EKK393" s="66"/>
      <c r="EKL393" s="66"/>
      <c r="EKM393" s="66"/>
      <c r="EKN393" s="66"/>
      <c r="EKO393" s="66"/>
      <c r="EKP393" s="66"/>
      <c r="EKQ393" s="66"/>
      <c r="EKR393" s="66"/>
      <c r="EKS393" s="66"/>
      <c r="EKT393" s="66"/>
      <c r="EKU393" s="66"/>
      <c r="EKV393" s="66"/>
      <c r="EKW393" s="66"/>
      <c r="EKX393" s="66"/>
      <c r="EKY393" s="66"/>
      <c r="EKZ393" s="66"/>
      <c r="ELA393" s="66"/>
      <c r="ELB393" s="66"/>
      <c r="ELC393" s="66"/>
      <c r="ELD393" s="66"/>
      <c r="ELE393" s="66"/>
      <c r="ELF393" s="66"/>
      <c r="ELG393" s="66"/>
      <c r="ELH393" s="66"/>
      <c r="ELI393" s="66"/>
      <c r="ELJ393" s="66"/>
      <c r="ELK393" s="66"/>
      <c r="ELL393" s="66"/>
      <c r="ELM393" s="66"/>
      <c r="ELN393" s="66"/>
      <c r="ELO393" s="66"/>
      <c r="ELP393" s="66"/>
      <c r="ELQ393" s="66"/>
      <c r="ELR393" s="66"/>
      <c r="ELS393" s="66"/>
      <c r="ELT393" s="66"/>
      <c r="ELU393" s="66"/>
      <c r="ELV393" s="66"/>
      <c r="ELW393" s="66"/>
      <c r="ELX393" s="66"/>
      <c r="ELY393" s="66"/>
      <c r="ELZ393" s="66"/>
      <c r="EMA393" s="66"/>
      <c r="EMB393" s="66"/>
      <c r="EMC393" s="66"/>
      <c r="EMD393" s="66"/>
      <c r="EME393" s="66"/>
      <c r="EMF393" s="66"/>
      <c r="EMG393" s="66"/>
      <c r="EMH393" s="66"/>
      <c r="EMI393" s="66"/>
      <c r="EMJ393" s="66"/>
      <c r="EMK393" s="66"/>
      <c r="EML393" s="66"/>
      <c r="EMM393" s="66"/>
      <c r="EMN393" s="66"/>
      <c r="EMO393" s="66"/>
      <c r="EMP393" s="66"/>
      <c r="EMQ393" s="66"/>
      <c r="EMR393" s="66"/>
      <c r="EMS393" s="66"/>
      <c r="EMT393" s="66"/>
      <c r="EMU393" s="66"/>
      <c r="EMV393" s="66"/>
      <c r="EMW393" s="66"/>
      <c r="EMX393" s="66"/>
      <c r="EMY393" s="66"/>
      <c r="EMZ393" s="66"/>
      <c r="ENA393" s="66"/>
      <c r="ENB393" s="66"/>
      <c r="ENC393" s="66"/>
      <c r="END393" s="66"/>
      <c r="ENE393" s="66"/>
      <c r="ENF393" s="66"/>
      <c r="ENG393" s="66"/>
      <c r="ENH393" s="66"/>
      <c r="ENI393" s="66"/>
      <c r="ENJ393" s="66"/>
      <c r="ENK393" s="66"/>
      <c r="ENL393" s="66"/>
      <c r="ENM393" s="66"/>
      <c r="ENN393" s="66"/>
      <c r="ENO393" s="66"/>
      <c r="ENP393" s="66"/>
      <c r="ENQ393" s="66"/>
      <c r="ENR393" s="66"/>
      <c r="ENS393" s="66"/>
      <c r="ENT393" s="66"/>
      <c r="ENU393" s="66"/>
      <c r="ENV393" s="66"/>
      <c r="ENW393" s="66"/>
      <c r="ENX393" s="66"/>
      <c r="ENY393" s="66"/>
      <c r="ENZ393" s="66"/>
      <c r="EOA393" s="66"/>
      <c r="EOB393" s="66"/>
      <c r="EOC393" s="66"/>
      <c r="EOD393" s="66"/>
      <c r="EOE393" s="66"/>
      <c r="EOF393" s="66"/>
      <c r="EOG393" s="66"/>
      <c r="EOH393" s="66"/>
      <c r="EOI393" s="66"/>
      <c r="EOJ393" s="66"/>
      <c r="EOK393" s="66"/>
      <c r="EOL393" s="66"/>
      <c r="EOM393" s="66"/>
      <c r="EON393" s="66"/>
      <c r="EOO393" s="66"/>
      <c r="EOP393" s="66"/>
      <c r="EOQ393" s="66"/>
      <c r="EOR393" s="66"/>
      <c r="EOS393" s="66"/>
      <c r="EOT393" s="66"/>
      <c r="EOU393" s="66"/>
      <c r="EOV393" s="66"/>
      <c r="EOW393" s="66"/>
      <c r="EOX393" s="66"/>
      <c r="EOY393" s="66"/>
      <c r="EOZ393" s="66"/>
      <c r="EPA393" s="66"/>
      <c r="EPB393" s="66"/>
      <c r="EPC393" s="66"/>
      <c r="EPD393" s="66"/>
      <c r="EPE393" s="66"/>
      <c r="EPF393" s="66"/>
      <c r="EPG393" s="66"/>
      <c r="EPH393" s="66"/>
      <c r="EPI393" s="66"/>
      <c r="EPJ393" s="66"/>
      <c r="EPK393" s="66"/>
      <c r="EPL393" s="66"/>
      <c r="EPM393" s="66"/>
      <c r="EPN393" s="66"/>
      <c r="EPO393" s="66"/>
      <c r="EPP393" s="66"/>
      <c r="EPQ393" s="66"/>
      <c r="EPR393" s="66"/>
      <c r="EPS393" s="66"/>
      <c r="EPT393" s="66"/>
      <c r="EPU393" s="66"/>
      <c r="EPV393" s="66"/>
      <c r="EPW393" s="66"/>
      <c r="EPX393" s="66"/>
      <c r="EPY393" s="66"/>
      <c r="EPZ393" s="66"/>
      <c r="EQA393" s="66"/>
      <c r="EQB393" s="66"/>
      <c r="EQC393" s="66"/>
      <c r="EQD393" s="66"/>
      <c r="EQE393" s="66"/>
      <c r="EQF393" s="66"/>
      <c r="EQG393" s="66"/>
      <c r="EQH393" s="66"/>
      <c r="EQI393" s="66"/>
      <c r="EQJ393" s="66"/>
      <c r="EQK393" s="66"/>
      <c r="EQL393" s="66"/>
      <c r="EQM393" s="66"/>
      <c r="EQN393" s="66"/>
      <c r="EQO393" s="66"/>
      <c r="EQP393" s="66"/>
      <c r="EQQ393" s="66"/>
      <c r="EQR393" s="66"/>
      <c r="EQS393" s="66"/>
      <c r="EQT393" s="66"/>
      <c r="EQU393" s="66"/>
      <c r="EQV393" s="66"/>
      <c r="EQW393" s="66"/>
      <c r="EQX393" s="66"/>
      <c r="EQY393" s="66"/>
      <c r="EQZ393" s="66"/>
      <c r="ERA393" s="66"/>
      <c r="ERB393" s="66"/>
      <c r="ERC393" s="66"/>
      <c r="ERD393" s="66"/>
      <c r="ERE393" s="66"/>
      <c r="ERF393" s="66"/>
      <c r="ERG393" s="66"/>
      <c r="ERH393" s="66"/>
      <c r="ERI393" s="66"/>
      <c r="ERJ393" s="66"/>
      <c r="ERK393" s="66"/>
      <c r="ERL393" s="66"/>
      <c r="ERM393" s="66"/>
      <c r="ERN393" s="66"/>
      <c r="ERO393" s="66"/>
      <c r="ERP393" s="66"/>
      <c r="ERQ393" s="66"/>
      <c r="ERR393" s="66"/>
      <c r="ERS393" s="66"/>
      <c r="ERT393" s="66"/>
      <c r="ERU393" s="66"/>
      <c r="ERV393" s="66"/>
      <c r="ERW393" s="66"/>
      <c r="ERX393" s="66"/>
      <c r="ERY393" s="66"/>
      <c r="ERZ393" s="66"/>
      <c r="ESA393" s="66"/>
      <c r="ESB393" s="66"/>
      <c r="ESC393" s="66"/>
      <c r="ESD393" s="66"/>
      <c r="ESE393" s="66"/>
      <c r="ESF393" s="66"/>
      <c r="ESG393" s="66"/>
      <c r="ESH393" s="66"/>
      <c r="ESI393" s="66"/>
      <c r="ESJ393" s="66"/>
      <c r="ESK393" s="66"/>
      <c r="ESL393" s="66"/>
      <c r="ESM393" s="66"/>
      <c r="ESN393" s="66"/>
      <c r="ESO393" s="66"/>
      <c r="ESP393" s="66"/>
      <c r="ESQ393" s="66"/>
      <c r="ESR393" s="66"/>
      <c r="ESS393" s="66"/>
      <c r="EST393" s="66"/>
      <c r="ESU393" s="66"/>
      <c r="ESV393" s="66"/>
      <c r="ESW393" s="66"/>
      <c r="ESX393" s="66"/>
      <c r="ESY393" s="66"/>
      <c r="ESZ393" s="66"/>
      <c r="ETA393" s="66"/>
      <c r="ETB393" s="66"/>
      <c r="ETC393" s="66"/>
      <c r="ETD393" s="66"/>
      <c r="ETE393" s="66"/>
      <c r="ETF393" s="66"/>
      <c r="ETG393" s="66"/>
      <c r="ETH393" s="66"/>
      <c r="ETI393" s="66"/>
      <c r="ETJ393" s="66"/>
      <c r="ETK393" s="66"/>
      <c r="ETL393" s="66"/>
      <c r="ETM393" s="66"/>
      <c r="ETN393" s="66"/>
      <c r="ETO393" s="66"/>
      <c r="ETP393" s="66"/>
      <c r="ETQ393" s="66"/>
      <c r="ETR393" s="66"/>
      <c r="ETS393" s="66"/>
      <c r="ETT393" s="66"/>
      <c r="ETU393" s="66"/>
      <c r="ETV393" s="66"/>
      <c r="ETW393" s="66"/>
      <c r="ETX393" s="66"/>
      <c r="ETY393" s="66"/>
      <c r="ETZ393" s="66"/>
      <c r="EUA393" s="66"/>
      <c r="EUB393" s="66"/>
      <c r="EUC393" s="66"/>
      <c r="EUD393" s="66"/>
      <c r="EUE393" s="66"/>
      <c r="EUF393" s="66"/>
      <c r="EUG393" s="66"/>
      <c r="EUH393" s="66"/>
      <c r="EUI393" s="66"/>
      <c r="EUJ393" s="66"/>
      <c r="EUK393" s="66"/>
      <c r="EUL393" s="66"/>
      <c r="EUM393" s="66"/>
      <c r="EUN393" s="66"/>
      <c r="EUO393" s="66"/>
      <c r="EUP393" s="66"/>
      <c r="EUQ393" s="66"/>
      <c r="EUR393" s="66"/>
      <c r="EUS393" s="66"/>
      <c r="EUT393" s="66"/>
      <c r="EUU393" s="66"/>
      <c r="EUV393" s="66"/>
      <c r="EUW393" s="66"/>
      <c r="EUX393" s="66"/>
      <c r="EUY393" s="66"/>
      <c r="EUZ393" s="66"/>
      <c r="EVA393" s="66"/>
      <c r="EVB393" s="66"/>
      <c r="EVC393" s="66"/>
      <c r="EVD393" s="66"/>
      <c r="EVE393" s="66"/>
      <c r="EVF393" s="66"/>
      <c r="EVG393" s="66"/>
      <c r="EVH393" s="66"/>
      <c r="EVI393" s="66"/>
      <c r="EVJ393" s="66"/>
      <c r="EVK393" s="66"/>
      <c r="EVL393" s="66"/>
      <c r="EVM393" s="66"/>
      <c r="EVN393" s="66"/>
      <c r="EVO393" s="66"/>
      <c r="EVP393" s="66"/>
      <c r="EVQ393" s="66"/>
      <c r="EVR393" s="66"/>
      <c r="EVS393" s="66"/>
      <c r="EVT393" s="66"/>
      <c r="EVU393" s="66"/>
      <c r="EVV393" s="66"/>
      <c r="EVW393" s="66"/>
      <c r="EVX393" s="66"/>
      <c r="EVY393" s="66"/>
      <c r="EVZ393" s="66"/>
      <c r="EWA393" s="66"/>
      <c r="EWB393" s="66"/>
      <c r="EWC393" s="66"/>
      <c r="EWD393" s="66"/>
      <c r="EWE393" s="66"/>
      <c r="EWF393" s="66"/>
      <c r="EWG393" s="66"/>
      <c r="EWH393" s="66"/>
      <c r="EWI393" s="66"/>
      <c r="EWJ393" s="66"/>
      <c r="EWK393" s="66"/>
      <c r="EWL393" s="66"/>
      <c r="EWM393" s="66"/>
      <c r="EWN393" s="66"/>
      <c r="EWO393" s="66"/>
      <c r="EWP393" s="66"/>
      <c r="EWQ393" s="66"/>
      <c r="EWR393" s="66"/>
      <c r="EWS393" s="66"/>
      <c r="EWT393" s="66"/>
      <c r="EWU393" s="66"/>
      <c r="EWV393" s="66"/>
      <c r="EWW393" s="66"/>
      <c r="EWX393" s="66"/>
      <c r="EWY393" s="66"/>
      <c r="EWZ393" s="66"/>
      <c r="EXA393" s="66"/>
      <c r="EXB393" s="66"/>
      <c r="EXC393" s="66"/>
      <c r="EXD393" s="66"/>
      <c r="EXE393" s="66"/>
      <c r="EXF393" s="66"/>
      <c r="EXG393" s="66"/>
      <c r="EXH393" s="66"/>
      <c r="EXI393" s="66"/>
      <c r="EXJ393" s="66"/>
      <c r="EXK393" s="66"/>
      <c r="EXL393" s="66"/>
      <c r="EXM393" s="66"/>
      <c r="EXN393" s="66"/>
      <c r="EXO393" s="66"/>
      <c r="EXP393" s="66"/>
      <c r="EXQ393" s="66"/>
      <c r="EXR393" s="66"/>
      <c r="EXS393" s="66"/>
      <c r="EXT393" s="66"/>
      <c r="EXU393" s="66"/>
      <c r="EXV393" s="66"/>
      <c r="EXW393" s="66"/>
      <c r="EXX393" s="66"/>
      <c r="EXY393" s="66"/>
      <c r="EXZ393" s="66"/>
      <c r="EYA393" s="66"/>
      <c r="EYB393" s="66"/>
      <c r="EYC393" s="66"/>
      <c r="EYD393" s="66"/>
      <c r="EYE393" s="66"/>
      <c r="EYF393" s="66"/>
      <c r="EYG393" s="66"/>
      <c r="EYH393" s="66"/>
      <c r="EYI393" s="66"/>
      <c r="EYJ393" s="66"/>
      <c r="EYK393" s="66"/>
      <c r="EYL393" s="66"/>
      <c r="EYM393" s="66"/>
      <c r="EYN393" s="66"/>
      <c r="EYO393" s="66"/>
      <c r="EYP393" s="66"/>
      <c r="EYQ393" s="66"/>
      <c r="EYR393" s="66"/>
      <c r="EYS393" s="66"/>
      <c r="EYT393" s="66"/>
      <c r="EYU393" s="66"/>
      <c r="EYV393" s="66"/>
      <c r="EYW393" s="66"/>
      <c r="EYX393" s="66"/>
      <c r="EYY393" s="66"/>
      <c r="EYZ393" s="66"/>
      <c r="EZA393" s="66"/>
      <c r="EZB393" s="66"/>
      <c r="EZC393" s="66"/>
      <c r="EZD393" s="66"/>
      <c r="EZE393" s="66"/>
      <c r="EZF393" s="66"/>
      <c r="EZG393" s="66"/>
      <c r="EZH393" s="66"/>
      <c r="EZI393" s="66"/>
      <c r="EZJ393" s="66"/>
      <c r="EZK393" s="66"/>
      <c r="EZL393" s="66"/>
      <c r="EZM393" s="66"/>
      <c r="EZN393" s="66"/>
      <c r="EZO393" s="66"/>
      <c r="EZP393" s="66"/>
      <c r="EZQ393" s="66"/>
      <c r="EZR393" s="66"/>
      <c r="EZS393" s="66"/>
      <c r="EZT393" s="66"/>
      <c r="EZU393" s="66"/>
      <c r="EZV393" s="66"/>
      <c r="EZW393" s="66"/>
      <c r="EZX393" s="66"/>
      <c r="EZY393" s="66"/>
      <c r="EZZ393" s="66"/>
      <c r="FAA393" s="66"/>
      <c r="FAB393" s="66"/>
      <c r="FAC393" s="66"/>
      <c r="FAD393" s="66"/>
      <c r="FAE393" s="66"/>
      <c r="FAF393" s="66"/>
      <c r="FAG393" s="66"/>
      <c r="FAH393" s="66"/>
      <c r="FAI393" s="66"/>
      <c r="FAJ393" s="66"/>
      <c r="FAK393" s="66"/>
      <c r="FAL393" s="66"/>
      <c r="FAM393" s="66"/>
      <c r="FAN393" s="66"/>
      <c r="FAO393" s="66"/>
      <c r="FAP393" s="66"/>
      <c r="FAQ393" s="66"/>
      <c r="FAR393" s="66"/>
      <c r="FAS393" s="66"/>
      <c r="FAT393" s="66"/>
      <c r="FAU393" s="66"/>
      <c r="FAV393" s="66"/>
      <c r="FAW393" s="66"/>
      <c r="FAX393" s="66"/>
      <c r="FAY393" s="66"/>
      <c r="FAZ393" s="66"/>
      <c r="FBA393" s="66"/>
      <c r="FBB393" s="66"/>
      <c r="FBC393" s="66"/>
      <c r="FBD393" s="66"/>
      <c r="FBE393" s="66"/>
      <c r="FBF393" s="66"/>
      <c r="FBG393" s="66"/>
      <c r="FBH393" s="66"/>
      <c r="FBI393" s="66"/>
      <c r="FBJ393" s="66"/>
      <c r="FBK393" s="66"/>
      <c r="FBL393" s="66"/>
      <c r="FBM393" s="66"/>
      <c r="FBN393" s="66"/>
      <c r="FBO393" s="66"/>
      <c r="FBP393" s="66"/>
      <c r="FBQ393" s="66"/>
      <c r="FBR393" s="66"/>
      <c r="FBS393" s="66"/>
      <c r="FBT393" s="66"/>
      <c r="FBU393" s="66"/>
      <c r="FBV393" s="66"/>
      <c r="FBW393" s="66"/>
      <c r="FBX393" s="66"/>
      <c r="FBY393" s="66"/>
      <c r="FBZ393" s="66"/>
      <c r="FCA393" s="66"/>
      <c r="FCB393" s="66"/>
      <c r="FCC393" s="66"/>
      <c r="FCD393" s="66"/>
      <c r="FCE393" s="66"/>
      <c r="FCF393" s="66"/>
      <c r="FCG393" s="66"/>
      <c r="FCH393" s="66"/>
      <c r="FCI393" s="66"/>
      <c r="FCJ393" s="66"/>
      <c r="FCK393" s="66"/>
      <c r="FCL393" s="66"/>
      <c r="FCM393" s="66"/>
      <c r="FCN393" s="66"/>
      <c r="FCO393" s="66"/>
      <c r="FCP393" s="66"/>
      <c r="FCQ393" s="66"/>
      <c r="FCR393" s="66"/>
      <c r="FCS393" s="66"/>
      <c r="FCT393" s="66"/>
      <c r="FCU393" s="66"/>
      <c r="FCV393" s="66"/>
      <c r="FCW393" s="66"/>
      <c r="FCX393" s="66"/>
      <c r="FCY393" s="66"/>
      <c r="FCZ393" s="66"/>
      <c r="FDA393" s="66"/>
      <c r="FDB393" s="66"/>
      <c r="FDC393" s="66"/>
      <c r="FDD393" s="66"/>
      <c r="FDE393" s="66"/>
      <c r="FDF393" s="66"/>
      <c r="FDG393" s="66"/>
      <c r="FDH393" s="66"/>
      <c r="FDI393" s="66"/>
      <c r="FDJ393" s="66"/>
      <c r="FDK393" s="66"/>
      <c r="FDL393" s="66"/>
      <c r="FDM393" s="66"/>
      <c r="FDN393" s="66"/>
      <c r="FDO393" s="66"/>
      <c r="FDP393" s="66"/>
      <c r="FDQ393" s="66"/>
      <c r="FDR393" s="66"/>
      <c r="FDS393" s="66"/>
      <c r="FDT393" s="66"/>
      <c r="FDU393" s="66"/>
      <c r="FDV393" s="66"/>
      <c r="FDW393" s="66"/>
      <c r="FDX393" s="66"/>
      <c r="FDY393" s="66"/>
      <c r="FDZ393" s="66"/>
      <c r="FEA393" s="66"/>
      <c r="FEB393" s="66"/>
      <c r="FEC393" s="66"/>
      <c r="FED393" s="66"/>
      <c r="FEE393" s="66"/>
      <c r="FEF393" s="66"/>
      <c r="FEG393" s="66"/>
      <c r="FEH393" s="66"/>
      <c r="FEI393" s="66"/>
      <c r="FEJ393" s="66"/>
      <c r="FEK393" s="66"/>
      <c r="FEL393" s="66"/>
      <c r="FEM393" s="66"/>
      <c r="FEN393" s="66"/>
      <c r="FEO393" s="66"/>
      <c r="FEP393" s="66"/>
      <c r="FEQ393" s="66"/>
      <c r="FER393" s="66"/>
      <c r="FES393" s="66"/>
      <c r="FET393" s="66"/>
      <c r="FEU393" s="66"/>
      <c r="FEV393" s="66"/>
      <c r="FEW393" s="66"/>
      <c r="FEX393" s="66"/>
      <c r="FEY393" s="66"/>
      <c r="FEZ393" s="66"/>
      <c r="FFA393" s="66"/>
      <c r="FFB393" s="66"/>
      <c r="FFC393" s="66"/>
      <c r="FFD393" s="66"/>
      <c r="FFE393" s="66"/>
      <c r="FFF393" s="66"/>
      <c r="FFG393" s="66"/>
      <c r="FFH393" s="66"/>
      <c r="FFI393" s="66"/>
      <c r="FFJ393" s="66"/>
      <c r="FFK393" s="66"/>
      <c r="FFL393" s="66"/>
      <c r="FFM393" s="66"/>
      <c r="FFN393" s="66"/>
      <c r="FFO393" s="66"/>
      <c r="FFP393" s="66"/>
      <c r="FFQ393" s="66"/>
      <c r="FFR393" s="66"/>
      <c r="FFS393" s="66"/>
      <c r="FFT393" s="66"/>
      <c r="FFU393" s="66"/>
      <c r="FFV393" s="66"/>
      <c r="FFW393" s="66"/>
      <c r="FFX393" s="66"/>
      <c r="FFY393" s="66"/>
      <c r="FFZ393" s="66"/>
      <c r="FGA393" s="66"/>
      <c r="FGB393" s="66"/>
      <c r="FGC393" s="66"/>
      <c r="FGD393" s="66"/>
      <c r="FGE393" s="66"/>
      <c r="FGF393" s="66"/>
      <c r="FGG393" s="66"/>
      <c r="FGH393" s="66"/>
      <c r="FGI393" s="66"/>
      <c r="FGJ393" s="66"/>
      <c r="FGK393" s="66"/>
      <c r="FGL393" s="66"/>
      <c r="FGM393" s="66"/>
      <c r="FGN393" s="66"/>
      <c r="FGO393" s="66"/>
      <c r="FGP393" s="66"/>
      <c r="FGQ393" s="66"/>
      <c r="FGR393" s="66"/>
      <c r="FGS393" s="66"/>
      <c r="FGT393" s="66"/>
      <c r="FGU393" s="66"/>
      <c r="FGV393" s="66"/>
      <c r="FGW393" s="66"/>
      <c r="FGX393" s="66"/>
      <c r="FGY393" s="66"/>
      <c r="FGZ393" s="66"/>
      <c r="FHA393" s="66"/>
      <c r="FHB393" s="66"/>
      <c r="FHC393" s="66"/>
      <c r="FHD393" s="66"/>
      <c r="FHE393" s="66"/>
      <c r="FHF393" s="66"/>
      <c r="FHG393" s="66"/>
      <c r="FHH393" s="66"/>
      <c r="FHI393" s="66"/>
      <c r="FHJ393" s="66"/>
      <c r="FHK393" s="66"/>
      <c r="FHL393" s="66"/>
      <c r="FHM393" s="66"/>
      <c r="FHN393" s="66"/>
      <c r="FHO393" s="66"/>
      <c r="FHP393" s="66"/>
      <c r="FHQ393" s="66"/>
      <c r="FHR393" s="66"/>
      <c r="FHS393" s="66"/>
      <c r="FHT393" s="66"/>
      <c r="FHU393" s="66"/>
      <c r="FHV393" s="66"/>
      <c r="FHW393" s="66"/>
      <c r="FHX393" s="66"/>
      <c r="FHY393" s="66"/>
      <c r="FHZ393" s="66"/>
      <c r="FIA393" s="66"/>
      <c r="FIB393" s="66"/>
      <c r="FIC393" s="66"/>
      <c r="FID393" s="66"/>
      <c r="FIE393" s="66"/>
      <c r="FIF393" s="66"/>
      <c r="FIG393" s="66"/>
      <c r="FIH393" s="66"/>
      <c r="FII393" s="66"/>
      <c r="FIJ393" s="66"/>
      <c r="FIK393" s="66"/>
      <c r="FIL393" s="66"/>
      <c r="FIM393" s="66"/>
      <c r="FIN393" s="66"/>
      <c r="FIO393" s="66"/>
      <c r="FIP393" s="66"/>
      <c r="FIQ393" s="66"/>
      <c r="FIR393" s="66"/>
      <c r="FIS393" s="66"/>
      <c r="FIT393" s="66"/>
      <c r="FIU393" s="66"/>
      <c r="FIV393" s="66"/>
      <c r="FIW393" s="66"/>
      <c r="FIX393" s="66"/>
      <c r="FIY393" s="66"/>
      <c r="FIZ393" s="66"/>
      <c r="FJA393" s="66"/>
      <c r="FJB393" s="66"/>
      <c r="FJC393" s="66"/>
      <c r="FJD393" s="66"/>
      <c r="FJE393" s="66"/>
      <c r="FJF393" s="66"/>
      <c r="FJG393" s="66"/>
      <c r="FJH393" s="66"/>
      <c r="FJI393" s="66"/>
      <c r="FJJ393" s="66"/>
      <c r="FJK393" s="66"/>
      <c r="FJL393" s="66"/>
      <c r="FJM393" s="66"/>
      <c r="FJN393" s="66"/>
      <c r="FJO393" s="66"/>
      <c r="FJP393" s="66"/>
      <c r="FJQ393" s="66"/>
      <c r="FJR393" s="66"/>
      <c r="FJS393" s="66"/>
      <c r="FJT393" s="66"/>
      <c r="FJU393" s="66"/>
      <c r="FJV393" s="66"/>
      <c r="FJW393" s="66"/>
      <c r="FJX393" s="66"/>
      <c r="FJY393" s="66"/>
      <c r="FJZ393" s="66"/>
      <c r="FKA393" s="66"/>
      <c r="FKB393" s="66"/>
      <c r="FKC393" s="66"/>
      <c r="FKD393" s="66"/>
      <c r="FKE393" s="66"/>
      <c r="FKF393" s="66"/>
      <c r="FKG393" s="66"/>
      <c r="FKH393" s="66"/>
      <c r="FKI393" s="66"/>
      <c r="FKJ393" s="66"/>
      <c r="FKK393" s="66"/>
      <c r="FKL393" s="66"/>
      <c r="FKM393" s="66"/>
      <c r="FKN393" s="66"/>
      <c r="FKO393" s="66"/>
      <c r="FKP393" s="66"/>
      <c r="FKQ393" s="66"/>
      <c r="FKR393" s="66"/>
      <c r="FKS393" s="66"/>
      <c r="FKT393" s="66"/>
      <c r="FKU393" s="66"/>
      <c r="FKV393" s="66"/>
      <c r="FKW393" s="66"/>
      <c r="FKX393" s="66"/>
      <c r="FKY393" s="66"/>
      <c r="FKZ393" s="66"/>
      <c r="FLA393" s="66"/>
      <c r="FLB393" s="66"/>
      <c r="FLC393" s="66"/>
      <c r="FLD393" s="66"/>
      <c r="FLE393" s="66"/>
      <c r="FLF393" s="66"/>
      <c r="FLG393" s="66"/>
      <c r="FLH393" s="66"/>
      <c r="FLI393" s="66"/>
      <c r="FLJ393" s="66"/>
      <c r="FLK393" s="66"/>
      <c r="FLL393" s="66"/>
      <c r="FLM393" s="66"/>
      <c r="FLN393" s="66"/>
      <c r="FLO393" s="66"/>
      <c r="FLP393" s="66"/>
      <c r="FLQ393" s="66"/>
      <c r="FLR393" s="66"/>
      <c r="FLS393" s="66"/>
      <c r="FLT393" s="66"/>
      <c r="FLU393" s="66"/>
      <c r="FLV393" s="66"/>
      <c r="FLW393" s="66"/>
      <c r="FLX393" s="66"/>
      <c r="FLY393" s="66"/>
      <c r="FLZ393" s="66"/>
      <c r="FMA393" s="66"/>
      <c r="FMB393" s="66"/>
      <c r="FMC393" s="66"/>
      <c r="FMD393" s="66"/>
      <c r="FME393" s="66"/>
      <c r="FMF393" s="66"/>
      <c r="FMG393" s="66"/>
      <c r="FMH393" s="66"/>
      <c r="FMI393" s="66"/>
      <c r="FMJ393" s="66"/>
      <c r="FMK393" s="66"/>
      <c r="FML393" s="66"/>
      <c r="FMM393" s="66"/>
      <c r="FMN393" s="66"/>
      <c r="FMO393" s="66"/>
      <c r="FMP393" s="66"/>
      <c r="FMQ393" s="66"/>
      <c r="FMR393" s="66"/>
      <c r="FMS393" s="66"/>
      <c r="FMT393" s="66"/>
      <c r="FMU393" s="66"/>
      <c r="FMV393" s="66"/>
      <c r="FMW393" s="66"/>
      <c r="FMX393" s="66"/>
      <c r="FMY393" s="66"/>
      <c r="FMZ393" s="66"/>
      <c r="FNA393" s="66"/>
      <c r="FNB393" s="66"/>
      <c r="FNC393" s="66"/>
      <c r="FND393" s="66"/>
      <c r="FNE393" s="66"/>
      <c r="FNF393" s="66"/>
      <c r="FNG393" s="66"/>
      <c r="FNH393" s="66"/>
      <c r="FNI393" s="66"/>
      <c r="FNJ393" s="66"/>
      <c r="FNK393" s="66"/>
      <c r="FNL393" s="66"/>
      <c r="FNM393" s="66"/>
      <c r="FNN393" s="66"/>
      <c r="FNO393" s="66"/>
      <c r="FNP393" s="66"/>
      <c r="FNQ393" s="66"/>
      <c r="FNR393" s="66"/>
      <c r="FNS393" s="66"/>
      <c r="FNT393" s="66"/>
      <c r="FNU393" s="66"/>
      <c r="FNV393" s="66"/>
      <c r="FNW393" s="66"/>
      <c r="FNX393" s="66"/>
      <c r="FNY393" s="66"/>
      <c r="FNZ393" s="66"/>
      <c r="FOA393" s="66"/>
      <c r="FOB393" s="66"/>
      <c r="FOC393" s="66"/>
      <c r="FOD393" s="66"/>
      <c r="FOE393" s="66"/>
      <c r="FOF393" s="66"/>
      <c r="FOG393" s="66"/>
      <c r="FOH393" s="66"/>
      <c r="FOI393" s="66"/>
      <c r="FOJ393" s="66"/>
      <c r="FOK393" s="66"/>
      <c r="FOL393" s="66"/>
      <c r="FOM393" s="66"/>
      <c r="FON393" s="66"/>
      <c r="FOO393" s="66"/>
      <c r="FOP393" s="66"/>
      <c r="FOQ393" s="66"/>
      <c r="FOR393" s="66"/>
      <c r="FOS393" s="66"/>
      <c r="FOT393" s="66"/>
      <c r="FOU393" s="66"/>
      <c r="FOV393" s="66"/>
      <c r="FOW393" s="66"/>
      <c r="FOX393" s="66"/>
      <c r="FOY393" s="66"/>
      <c r="FOZ393" s="66"/>
      <c r="FPA393" s="66"/>
      <c r="FPB393" s="66"/>
      <c r="FPC393" s="66"/>
      <c r="FPD393" s="66"/>
      <c r="FPE393" s="66"/>
      <c r="FPF393" s="66"/>
      <c r="FPG393" s="66"/>
      <c r="FPH393" s="66"/>
      <c r="FPI393" s="66"/>
      <c r="FPJ393" s="66"/>
      <c r="FPK393" s="66"/>
      <c r="FPL393" s="66"/>
      <c r="FPM393" s="66"/>
      <c r="FPN393" s="66"/>
      <c r="FPO393" s="66"/>
      <c r="FPP393" s="66"/>
      <c r="FPQ393" s="66"/>
      <c r="FPR393" s="66"/>
      <c r="FPS393" s="66"/>
      <c r="FPT393" s="66"/>
      <c r="FPU393" s="66"/>
      <c r="FPV393" s="66"/>
      <c r="FPW393" s="66"/>
      <c r="FPX393" s="66"/>
      <c r="FPY393" s="66"/>
      <c r="FPZ393" s="66"/>
      <c r="FQA393" s="66"/>
      <c r="FQB393" s="66"/>
      <c r="FQC393" s="66"/>
      <c r="FQD393" s="66"/>
      <c r="FQE393" s="66"/>
      <c r="FQF393" s="66"/>
      <c r="FQG393" s="66"/>
      <c r="FQH393" s="66"/>
      <c r="FQI393" s="66"/>
      <c r="FQJ393" s="66"/>
      <c r="FQK393" s="66"/>
      <c r="FQL393" s="66"/>
      <c r="FQM393" s="66"/>
      <c r="FQN393" s="66"/>
      <c r="FQO393" s="66"/>
      <c r="FQP393" s="66"/>
      <c r="FQQ393" s="66"/>
      <c r="FQR393" s="66"/>
      <c r="FQS393" s="66"/>
      <c r="FQT393" s="66"/>
      <c r="FQU393" s="66"/>
      <c r="FQV393" s="66"/>
      <c r="FQW393" s="66"/>
      <c r="FQX393" s="66"/>
      <c r="FQY393" s="66"/>
      <c r="FQZ393" s="66"/>
      <c r="FRA393" s="66"/>
      <c r="FRB393" s="66"/>
      <c r="FRC393" s="66"/>
      <c r="FRD393" s="66"/>
      <c r="FRE393" s="66"/>
      <c r="FRF393" s="66"/>
      <c r="FRG393" s="66"/>
      <c r="FRH393" s="66"/>
      <c r="FRI393" s="66"/>
      <c r="FRJ393" s="66"/>
      <c r="FRK393" s="66"/>
      <c r="FRL393" s="66"/>
      <c r="FRM393" s="66"/>
      <c r="FRN393" s="66"/>
      <c r="FRO393" s="66"/>
      <c r="FRP393" s="66"/>
      <c r="FRQ393" s="66"/>
      <c r="FRR393" s="66"/>
      <c r="FRS393" s="66"/>
      <c r="FRT393" s="66"/>
      <c r="FRU393" s="66"/>
      <c r="FRV393" s="66"/>
      <c r="FRW393" s="66"/>
      <c r="FRX393" s="66"/>
      <c r="FRY393" s="66"/>
      <c r="FRZ393" s="66"/>
      <c r="FSA393" s="66"/>
      <c r="FSB393" s="66"/>
      <c r="FSC393" s="66"/>
      <c r="FSD393" s="66"/>
      <c r="FSE393" s="66"/>
      <c r="FSF393" s="66"/>
      <c r="FSG393" s="66"/>
      <c r="FSH393" s="66"/>
      <c r="FSI393" s="66"/>
      <c r="FSJ393" s="66"/>
      <c r="FSK393" s="66"/>
      <c r="FSL393" s="66"/>
      <c r="FSM393" s="66"/>
      <c r="FSN393" s="66"/>
      <c r="FSO393" s="66"/>
      <c r="FSP393" s="66"/>
      <c r="FSQ393" s="66"/>
      <c r="FSR393" s="66"/>
      <c r="FSS393" s="66"/>
      <c r="FST393" s="66"/>
      <c r="FSU393" s="66"/>
      <c r="FSV393" s="66"/>
      <c r="FSW393" s="66"/>
      <c r="FSX393" s="66"/>
      <c r="FSY393" s="66"/>
      <c r="FSZ393" s="66"/>
      <c r="FTA393" s="66"/>
      <c r="FTB393" s="66"/>
      <c r="FTC393" s="66"/>
      <c r="FTD393" s="66"/>
      <c r="FTE393" s="66"/>
      <c r="FTF393" s="66"/>
      <c r="FTG393" s="66"/>
      <c r="FTH393" s="66"/>
      <c r="FTI393" s="66"/>
      <c r="FTJ393" s="66"/>
      <c r="FTK393" s="66"/>
      <c r="FTL393" s="66"/>
      <c r="FTM393" s="66"/>
      <c r="FTN393" s="66"/>
      <c r="FTO393" s="66"/>
      <c r="FTP393" s="66"/>
      <c r="FTQ393" s="66"/>
      <c r="FTR393" s="66"/>
      <c r="FTS393" s="66"/>
      <c r="FTT393" s="66"/>
      <c r="FTU393" s="66"/>
      <c r="FTV393" s="66"/>
      <c r="FTW393" s="66"/>
      <c r="FTX393" s="66"/>
      <c r="FTY393" s="66"/>
      <c r="FTZ393" s="66"/>
      <c r="FUA393" s="66"/>
      <c r="FUB393" s="66"/>
      <c r="FUC393" s="66"/>
      <c r="FUD393" s="66"/>
      <c r="FUE393" s="66"/>
      <c r="FUF393" s="66"/>
      <c r="FUG393" s="66"/>
      <c r="FUH393" s="66"/>
      <c r="FUI393" s="66"/>
      <c r="FUJ393" s="66"/>
      <c r="FUK393" s="66"/>
      <c r="FUL393" s="66"/>
      <c r="FUM393" s="66"/>
      <c r="FUN393" s="66"/>
      <c r="FUO393" s="66"/>
      <c r="FUP393" s="66"/>
      <c r="FUQ393" s="66"/>
      <c r="FUR393" s="66"/>
      <c r="FUS393" s="66"/>
      <c r="FUT393" s="66"/>
      <c r="FUU393" s="66"/>
      <c r="FUV393" s="66"/>
      <c r="FUW393" s="66"/>
      <c r="FUX393" s="66"/>
      <c r="FUY393" s="66"/>
      <c r="FUZ393" s="66"/>
      <c r="FVA393" s="66"/>
      <c r="FVB393" s="66"/>
      <c r="FVC393" s="66"/>
      <c r="FVD393" s="66"/>
      <c r="FVE393" s="66"/>
      <c r="FVF393" s="66"/>
      <c r="FVG393" s="66"/>
      <c r="FVH393" s="66"/>
      <c r="FVI393" s="66"/>
      <c r="FVJ393" s="66"/>
      <c r="FVK393" s="66"/>
      <c r="FVL393" s="66"/>
      <c r="FVM393" s="66"/>
      <c r="FVN393" s="66"/>
      <c r="FVO393" s="66"/>
      <c r="FVP393" s="66"/>
      <c r="FVQ393" s="66"/>
      <c r="FVR393" s="66"/>
      <c r="FVS393" s="66"/>
      <c r="FVT393" s="66"/>
      <c r="FVU393" s="66"/>
      <c r="FVV393" s="66"/>
      <c r="FVW393" s="66"/>
      <c r="FVX393" s="66"/>
      <c r="FVY393" s="66"/>
      <c r="FVZ393" s="66"/>
      <c r="FWA393" s="66"/>
      <c r="FWB393" s="66"/>
      <c r="FWC393" s="66"/>
      <c r="FWD393" s="66"/>
      <c r="FWE393" s="66"/>
      <c r="FWF393" s="66"/>
      <c r="FWG393" s="66"/>
      <c r="FWH393" s="66"/>
      <c r="FWI393" s="66"/>
      <c r="FWJ393" s="66"/>
      <c r="FWK393" s="66"/>
      <c r="FWL393" s="66"/>
      <c r="FWM393" s="66"/>
      <c r="FWN393" s="66"/>
      <c r="FWO393" s="66"/>
      <c r="FWP393" s="66"/>
      <c r="FWQ393" s="66"/>
      <c r="FWR393" s="66"/>
      <c r="FWS393" s="66"/>
      <c r="FWT393" s="66"/>
      <c r="FWU393" s="66"/>
      <c r="FWV393" s="66"/>
      <c r="FWW393" s="66"/>
      <c r="FWX393" s="66"/>
      <c r="FWY393" s="66"/>
      <c r="FWZ393" s="66"/>
      <c r="FXA393" s="66"/>
      <c r="FXB393" s="66"/>
      <c r="FXC393" s="66"/>
      <c r="FXD393" s="66"/>
      <c r="FXE393" s="66"/>
      <c r="FXF393" s="66"/>
      <c r="FXG393" s="66"/>
      <c r="FXH393" s="66"/>
      <c r="FXI393" s="66"/>
      <c r="FXJ393" s="66"/>
      <c r="FXK393" s="66"/>
      <c r="FXL393" s="66"/>
      <c r="FXM393" s="66"/>
      <c r="FXN393" s="66"/>
      <c r="FXO393" s="66"/>
      <c r="FXP393" s="66"/>
      <c r="FXQ393" s="66"/>
      <c r="FXR393" s="66"/>
      <c r="FXS393" s="66"/>
      <c r="FXT393" s="66"/>
      <c r="FXU393" s="66"/>
      <c r="FXV393" s="66"/>
      <c r="FXW393" s="66"/>
      <c r="FXX393" s="66"/>
      <c r="FXY393" s="66"/>
      <c r="FXZ393" s="66"/>
      <c r="FYA393" s="66"/>
      <c r="FYB393" s="66"/>
      <c r="FYC393" s="66"/>
      <c r="FYD393" s="66"/>
      <c r="FYE393" s="66"/>
      <c r="FYF393" s="66"/>
      <c r="FYG393" s="66"/>
      <c r="FYH393" s="66"/>
      <c r="FYI393" s="66"/>
      <c r="FYJ393" s="66"/>
      <c r="FYK393" s="66"/>
      <c r="FYL393" s="66"/>
      <c r="FYM393" s="66"/>
      <c r="FYN393" s="66"/>
      <c r="FYO393" s="66"/>
      <c r="FYP393" s="66"/>
      <c r="FYQ393" s="66"/>
      <c r="FYR393" s="66"/>
      <c r="FYS393" s="66"/>
      <c r="FYT393" s="66"/>
      <c r="FYU393" s="66"/>
      <c r="FYV393" s="66"/>
      <c r="FYW393" s="66"/>
      <c r="FYX393" s="66"/>
      <c r="FYY393" s="66"/>
      <c r="FYZ393" s="66"/>
      <c r="FZA393" s="66"/>
      <c r="FZB393" s="66"/>
      <c r="FZC393" s="66"/>
      <c r="FZD393" s="66"/>
      <c r="FZE393" s="66"/>
      <c r="FZF393" s="66"/>
      <c r="FZG393" s="66"/>
      <c r="FZH393" s="66"/>
      <c r="FZI393" s="66"/>
      <c r="FZJ393" s="66"/>
      <c r="FZK393" s="66"/>
      <c r="FZL393" s="66"/>
      <c r="FZM393" s="66"/>
      <c r="FZN393" s="66"/>
      <c r="FZO393" s="66"/>
      <c r="FZP393" s="66"/>
      <c r="FZQ393" s="66"/>
      <c r="FZR393" s="66"/>
      <c r="FZS393" s="66"/>
      <c r="FZT393" s="66"/>
      <c r="FZU393" s="66"/>
      <c r="FZV393" s="66"/>
      <c r="FZW393" s="66"/>
      <c r="FZX393" s="66"/>
      <c r="FZY393" s="66"/>
      <c r="FZZ393" s="66"/>
      <c r="GAA393" s="66"/>
      <c r="GAB393" s="66"/>
      <c r="GAC393" s="66"/>
      <c r="GAD393" s="66"/>
      <c r="GAE393" s="66"/>
      <c r="GAF393" s="66"/>
      <c r="GAG393" s="66"/>
      <c r="GAH393" s="66"/>
      <c r="GAI393" s="66"/>
      <c r="GAJ393" s="66"/>
      <c r="GAK393" s="66"/>
      <c r="GAL393" s="66"/>
      <c r="GAM393" s="66"/>
      <c r="GAN393" s="66"/>
      <c r="GAO393" s="66"/>
      <c r="GAP393" s="66"/>
      <c r="GAQ393" s="66"/>
      <c r="GAR393" s="66"/>
      <c r="GAS393" s="66"/>
      <c r="GAT393" s="66"/>
      <c r="GAU393" s="66"/>
      <c r="GAV393" s="66"/>
      <c r="GAW393" s="66"/>
      <c r="GAX393" s="66"/>
      <c r="GAY393" s="66"/>
      <c r="GAZ393" s="66"/>
      <c r="GBA393" s="66"/>
      <c r="GBB393" s="66"/>
      <c r="GBC393" s="66"/>
      <c r="GBD393" s="66"/>
      <c r="GBE393" s="66"/>
      <c r="GBF393" s="66"/>
      <c r="GBG393" s="66"/>
      <c r="GBH393" s="66"/>
      <c r="GBI393" s="66"/>
      <c r="GBJ393" s="66"/>
      <c r="GBK393" s="66"/>
      <c r="GBL393" s="66"/>
      <c r="GBM393" s="66"/>
      <c r="GBN393" s="66"/>
      <c r="GBO393" s="66"/>
      <c r="GBP393" s="66"/>
      <c r="GBQ393" s="66"/>
      <c r="GBR393" s="66"/>
      <c r="GBS393" s="66"/>
      <c r="GBT393" s="66"/>
      <c r="GBU393" s="66"/>
      <c r="GBV393" s="66"/>
      <c r="GBW393" s="66"/>
      <c r="GBX393" s="66"/>
      <c r="GBY393" s="66"/>
      <c r="GBZ393" s="66"/>
      <c r="GCA393" s="66"/>
      <c r="GCB393" s="66"/>
      <c r="GCC393" s="66"/>
      <c r="GCD393" s="66"/>
      <c r="GCE393" s="66"/>
      <c r="GCF393" s="66"/>
      <c r="GCG393" s="66"/>
      <c r="GCH393" s="66"/>
      <c r="GCI393" s="66"/>
      <c r="GCJ393" s="66"/>
      <c r="GCK393" s="66"/>
      <c r="GCL393" s="66"/>
      <c r="GCM393" s="66"/>
      <c r="GCN393" s="66"/>
      <c r="GCO393" s="66"/>
      <c r="GCP393" s="66"/>
      <c r="GCQ393" s="66"/>
      <c r="GCR393" s="66"/>
      <c r="GCS393" s="66"/>
      <c r="GCT393" s="66"/>
      <c r="GCU393" s="66"/>
      <c r="GCV393" s="66"/>
      <c r="GCW393" s="66"/>
      <c r="GCX393" s="66"/>
      <c r="GCY393" s="66"/>
      <c r="GCZ393" s="66"/>
      <c r="GDA393" s="66"/>
      <c r="GDB393" s="66"/>
      <c r="GDC393" s="66"/>
      <c r="GDD393" s="66"/>
      <c r="GDE393" s="66"/>
      <c r="GDF393" s="66"/>
      <c r="GDG393" s="66"/>
      <c r="GDH393" s="66"/>
      <c r="GDI393" s="66"/>
      <c r="GDJ393" s="66"/>
      <c r="GDK393" s="66"/>
      <c r="GDL393" s="66"/>
      <c r="GDM393" s="66"/>
      <c r="GDN393" s="66"/>
      <c r="GDO393" s="66"/>
      <c r="GDP393" s="66"/>
      <c r="GDQ393" s="66"/>
      <c r="GDR393" s="66"/>
      <c r="GDS393" s="66"/>
      <c r="GDT393" s="66"/>
      <c r="GDU393" s="66"/>
      <c r="GDV393" s="66"/>
      <c r="GDW393" s="66"/>
      <c r="GDX393" s="66"/>
      <c r="GDY393" s="66"/>
      <c r="GDZ393" s="66"/>
      <c r="GEA393" s="66"/>
      <c r="GEB393" s="66"/>
      <c r="GEC393" s="66"/>
      <c r="GED393" s="66"/>
      <c r="GEE393" s="66"/>
      <c r="GEF393" s="66"/>
      <c r="GEG393" s="66"/>
      <c r="GEH393" s="66"/>
      <c r="GEI393" s="66"/>
      <c r="GEJ393" s="66"/>
      <c r="GEK393" s="66"/>
      <c r="GEL393" s="66"/>
      <c r="GEM393" s="66"/>
      <c r="GEN393" s="66"/>
      <c r="GEO393" s="66"/>
      <c r="GEP393" s="66"/>
      <c r="GEQ393" s="66"/>
      <c r="GER393" s="66"/>
      <c r="GES393" s="66"/>
      <c r="GET393" s="66"/>
      <c r="GEU393" s="66"/>
      <c r="GEV393" s="66"/>
      <c r="GEW393" s="66"/>
      <c r="GEX393" s="66"/>
      <c r="GEY393" s="66"/>
      <c r="GEZ393" s="66"/>
      <c r="GFA393" s="66"/>
      <c r="GFB393" s="66"/>
      <c r="GFC393" s="66"/>
      <c r="GFD393" s="66"/>
      <c r="GFE393" s="66"/>
      <c r="GFF393" s="66"/>
      <c r="GFG393" s="66"/>
      <c r="GFH393" s="66"/>
      <c r="GFI393" s="66"/>
      <c r="GFJ393" s="66"/>
      <c r="GFK393" s="66"/>
      <c r="GFL393" s="66"/>
      <c r="GFM393" s="66"/>
      <c r="GFN393" s="66"/>
      <c r="GFO393" s="66"/>
      <c r="GFP393" s="66"/>
      <c r="GFQ393" s="66"/>
      <c r="GFR393" s="66"/>
      <c r="GFS393" s="66"/>
      <c r="GFT393" s="66"/>
      <c r="GFU393" s="66"/>
      <c r="GFV393" s="66"/>
      <c r="GFW393" s="66"/>
      <c r="GFX393" s="66"/>
      <c r="GFY393" s="66"/>
      <c r="GFZ393" s="66"/>
      <c r="GGA393" s="66"/>
      <c r="GGB393" s="66"/>
      <c r="GGC393" s="66"/>
      <c r="GGD393" s="66"/>
      <c r="GGE393" s="66"/>
      <c r="GGF393" s="66"/>
      <c r="GGG393" s="66"/>
      <c r="GGH393" s="66"/>
      <c r="GGI393" s="66"/>
      <c r="GGJ393" s="66"/>
      <c r="GGK393" s="66"/>
      <c r="GGL393" s="66"/>
      <c r="GGM393" s="66"/>
      <c r="GGN393" s="66"/>
      <c r="GGO393" s="66"/>
      <c r="GGP393" s="66"/>
      <c r="GGQ393" s="66"/>
      <c r="GGR393" s="66"/>
      <c r="GGS393" s="66"/>
      <c r="GGT393" s="66"/>
      <c r="GGU393" s="66"/>
      <c r="GGV393" s="66"/>
      <c r="GGW393" s="66"/>
      <c r="GGX393" s="66"/>
      <c r="GGY393" s="66"/>
      <c r="GGZ393" s="66"/>
      <c r="GHA393" s="66"/>
      <c r="GHB393" s="66"/>
      <c r="GHC393" s="66"/>
      <c r="GHD393" s="66"/>
      <c r="GHE393" s="66"/>
      <c r="GHF393" s="66"/>
      <c r="GHG393" s="66"/>
      <c r="GHH393" s="66"/>
      <c r="GHI393" s="66"/>
      <c r="GHJ393" s="66"/>
      <c r="GHK393" s="66"/>
      <c r="GHL393" s="66"/>
      <c r="GHM393" s="66"/>
      <c r="GHN393" s="66"/>
      <c r="GHO393" s="66"/>
      <c r="GHP393" s="66"/>
      <c r="GHQ393" s="66"/>
      <c r="GHR393" s="66"/>
      <c r="GHS393" s="66"/>
      <c r="GHT393" s="66"/>
      <c r="GHU393" s="66"/>
      <c r="GHV393" s="66"/>
      <c r="GHW393" s="66"/>
      <c r="GHX393" s="66"/>
      <c r="GHY393" s="66"/>
      <c r="GHZ393" s="66"/>
      <c r="GIA393" s="66"/>
      <c r="GIB393" s="66"/>
      <c r="GIC393" s="66"/>
      <c r="GID393" s="66"/>
      <c r="GIE393" s="66"/>
      <c r="GIF393" s="66"/>
      <c r="GIG393" s="66"/>
      <c r="GIH393" s="66"/>
      <c r="GII393" s="66"/>
      <c r="GIJ393" s="66"/>
      <c r="GIK393" s="66"/>
      <c r="GIL393" s="66"/>
      <c r="GIM393" s="66"/>
      <c r="GIN393" s="66"/>
      <c r="GIO393" s="66"/>
      <c r="GIP393" s="66"/>
      <c r="GIQ393" s="66"/>
      <c r="GIR393" s="66"/>
      <c r="GIS393" s="66"/>
      <c r="GIT393" s="66"/>
      <c r="GIU393" s="66"/>
      <c r="GIV393" s="66"/>
      <c r="GIW393" s="66"/>
      <c r="GIX393" s="66"/>
      <c r="GIY393" s="66"/>
      <c r="GIZ393" s="66"/>
      <c r="GJA393" s="66"/>
      <c r="GJB393" s="66"/>
      <c r="GJC393" s="66"/>
      <c r="GJD393" s="66"/>
      <c r="GJE393" s="66"/>
      <c r="GJF393" s="66"/>
      <c r="GJG393" s="66"/>
      <c r="GJH393" s="66"/>
      <c r="GJI393" s="66"/>
      <c r="GJJ393" s="66"/>
      <c r="GJK393" s="66"/>
      <c r="GJL393" s="66"/>
      <c r="GJM393" s="66"/>
      <c r="GJN393" s="66"/>
      <c r="GJO393" s="66"/>
      <c r="GJP393" s="66"/>
      <c r="GJQ393" s="66"/>
      <c r="GJR393" s="66"/>
      <c r="GJS393" s="66"/>
      <c r="GJT393" s="66"/>
      <c r="GJU393" s="66"/>
      <c r="GJV393" s="66"/>
      <c r="GJW393" s="66"/>
      <c r="GJX393" s="66"/>
      <c r="GJY393" s="66"/>
      <c r="GJZ393" s="66"/>
      <c r="GKA393" s="66"/>
      <c r="GKB393" s="66"/>
      <c r="GKC393" s="66"/>
      <c r="GKD393" s="66"/>
      <c r="GKE393" s="66"/>
      <c r="GKF393" s="66"/>
      <c r="GKG393" s="66"/>
      <c r="GKH393" s="66"/>
      <c r="GKI393" s="66"/>
      <c r="GKJ393" s="66"/>
      <c r="GKK393" s="66"/>
      <c r="GKL393" s="66"/>
      <c r="GKM393" s="66"/>
      <c r="GKN393" s="66"/>
      <c r="GKO393" s="66"/>
      <c r="GKP393" s="66"/>
      <c r="GKQ393" s="66"/>
      <c r="GKR393" s="66"/>
      <c r="GKS393" s="66"/>
      <c r="GKT393" s="66"/>
      <c r="GKU393" s="66"/>
      <c r="GKV393" s="66"/>
      <c r="GKW393" s="66"/>
      <c r="GKX393" s="66"/>
      <c r="GKY393" s="66"/>
      <c r="GKZ393" s="66"/>
      <c r="GLA393" s="66"/>
      <c r="GLB393" s="66"/>
      <c r="GLC393" s="66"/>
      <c r="GLD393" s="66"/>
      <c r="GLE393" s="66"/>
      <c r="GLF393" s="66"/>
      <c r="GLG393" s="66"/>
      <c r="GLH393" s="66"/>
      <c r="GLI393" s="66"/>
      <c r="GLJ393" s="66"/>
      <c r="GLK393" s="66"/>
      <c r="GLL393" s="66"/>
      <c r="GLM393" s="66"/>
      <c r="GLN393" s="66"/>
      <c r="GLO393" s="66"/>
      <c r="GLP393" s="66"/>
      <c r="GLQ393" s="66"/>
      <c r="GLR393" s="66"/>
      <c r="GLS393" s="66"/>
      <c r="GLT393" s="66"/>
      <c r="GLU393" s="66"/>
      <c r="GLV393" s="66"/>
      <c r="GLW393" s="66"/>
      <c r="GLX393" s="66"/>
      <c r="GLY393" s="66"/>
      <c r="GLZ393" s="66"/>
      <c r="GMA393" s="66"/>
      <c r="GMB393" s="66"/>
      <c r="GMC393" s="66"/>
      <c r="GMD393" s="66"/>
      <c r="GME393" s="66"/>
      <c r="GMF393" s="66"/>
      <c r="GMG393" s="66"/>
      <c r="GMH393" s="66"/>
      <c r="GMI393" s="66"/>
      <c r="GMJ393" s="66"/>
      <c r="GMK393" s="66"/>
      <c r="GML393" s="66"/>
      <c r="GMM393" s="66"/>
      <c r="GMN393" s="66"/>
      <c r="GMO393" s="66"/>
      <c r="GMP393" s="66"/>
      <c r="GMQ393" s="66"/>
      <c r="GMR393" s="66"/>
      <c r="GMS393" s="66"/>
      <c r="GMT393" s="66"/>
      <c r="GMU393" s="66"/>
      <c r="GMV393" s="66"/>
      <c r="GMW393" s="66"/>
      <c r="GMX393" s="66"/>
      <c r="GMY393" s="66"/>
      <c r="GMZ393" s="66"/>
      <c r="GNA393" s="66"/>
      <c r="GNB393" s="66"/>
      <c r="GNC393" s="66"/>
      <c r="GND393" s="66"/>
      <c r="GNE393" s="66"/>
      <c r="GNF393" s="66"/>
      <c r="GNG393" s="66"/>
      <c r="GNH393" s="66"/>
      <c r="GNI393" s="66"/>
      <c r="GNJ393" s="66"/>
      <c r="GNK393" s="66"/>
      <c r="GNL393" s="66"/>
      <c r="GNM393" s="66"/>
      <c r="GNN393" s="66"/>
      <c r="GNO393" s="66"/>
      <c r="GNP393" s="66"/>
      <c r="GNQ393" s="66"/>
      <c r="GNR393" s="66"/>
      <c r="GNS393" s="66"/>
      <c r="GNT393" s="66"/>
      <c r="GNU393" s="66"/>
      <c r="GNV393" s="66"/>
      <c r="GNW393" s="66"/>
      <c r="GNX393" s="66"/>
      <c r="GNY393" s="66"/>
      <c r="GNZ393" s="66"/>
      <c r="GOA393" s="66"/>
      <c r="GOB393" s="66"/>
      <c r="GOC393" s="66"/>
      <c r="GOD393" s="66"/>
      <c r="GOE393" s="66"/>
      <c r="GOF393" s="66"/>
      <c r="GOG393" s="66"/>
      <c r="GOH393" s="66"/>
      <c r="GOI393" s="66"/>
      <c r="GOJ393" s="66"/>
      <c r="GOK393" s="66"/>
      <c r="GOL393" s="66"/>
      <c r="GOM393" s="66"/>
      <c r="GON393" s="66"/>
      <c r="GOO393" s="66"/>
      <c r="GOP393" s="66"/>
      <c r="GOQ393" s="66"/>
      <c r="GOR393" s="66"/>
      <c r="GOS393" s="66"/>
      <c r="GOT393" s="66"/>
      <c r="GOU393" s="66"/>
      <c r="GOV393" s="66"/>
      <c r="GOW393" s="66"/>
      <c r="GOX393" s="66"/>
      <c r="GOY393" s="66"/>
      <c r="GOZ393" s="66"/>
      <c r="GPA393" s="66"/>
      <c r="GPB393" s="66"/>
      <c r="GPC393" s="66"/>
      <c r="GPD393" s="66"/>
      <c r="GPE393" s="66"/>
      <c r="GPF393" s="66"/>
      <c r="GPG393" s="66"/>
      <c r="GPH393" s="66"/>
      <c r="GPI393" s="66"/>
      <c r="GPJ393" s="66"/>
      <c r="GPK393" s="66"/>
      <c r="GPL393" s="66"/>
      <c r="GPM393" s="66"/>
      <c r="GPN393" s="66"/>
      <c r="GPO393" s="66"/>
      <c r="GPP393" s="66"/>
      <c r="GPQ393" s="66"/>
      <c r="GPR393" s="66"/>
      <c r="GPS393" s="66"/>
      <c r="GPT393" s="66"/>
      <c r="GPU393" s="66"/>
      <c r="GPV393" s="66"/>
      <c r="GPW393" s="66"/>
      <c r="GPX393" s="66"/>
      <c r="GPY393" s="66"/>
      <c r="GPZ393" s="66"/>
      <c r="GQA393" s="66"/>
      <c r="GQB393" s="66"/>
      <c r="GQC393" s="66"/>
      <c r="GQD393" s="66"/>
      <c r="GQE393" s="66"/>
      <c r="GQF393" s="66"/>
      <c r="GQG393" s="66"/>
      <c r="GQH393" s="66"/>
      <c r="GQI393" s="66"/>
      <c r="GQJ393" s="66"/>
      <c r="GQK393" s="66"/>
      <c r="GQL393" s="66"/>
      <c r="GQM393" s="66"/>
      <c r="GQN393" s="66"/>
      <c r="GQO393" s="66"/>
      <c r="GQP393" s="66"/>
      <c r="GQQ393" s="66"/>
      <c r="GQR393" s="66"/>
      <c r="GQS393" s="66"/>
      <c r="GQT393" s="66"/>
      <c r="GQU393" s="66"/>
      <c r="GQV393" s="66"/>
      <c r="GQW393" s="66"/>
      <c r="GQX393" s="66"/>
      <c r="GQY393" s="66"/>
      <c r="GQZ393" s="66"/>
      <c r="GRA393" s="66"/>
      <c r="GRB393" s="66"/>
      <c r="GRC393" s="66"/>
      <c r="GRD393" s="66"/>
      <c r="GRE393" s="66"/>
      <c r="GRF393" s="66"/>
      <c r="GRG393" s="66"/>
      <c r="GRH393" s="66"/>
      <c r="GRI393" s="66"/>
      <c r="GRJ393" s="66"/>
      <c r="GRK393" s="66"/>
      <c r="GRL393" s="66"/>
      <c r="GRM393" s="66"/>
      <c r="GRN393" s="66"/>
      <c r="GRO393" s="66"/>
      <c r="GRP393" s="66"/>
      <c r="GRQ393" s="66"/>
      <c r="GRR393" s="66"/>
      <c r="GRS393" s="66"/>
      <c r="GRT393" s="66"/>
      <c r="GRU393" s="66"/>
      <c r="GRV393" s="66"/>
      <c r="GRW393" s="66"/>
      <c r="GRX393" s="66"/>
      <c r="GRY393" s="66"/>
      <c r="GRZ393" s="66"/>
      <c r="GSA393" s="66"/>
      <c r="GSB393" s="66"/>
      <c r="GSC393" s="66"/>
      <c r="GSD393" s="66"/>
      <c r="GSE393" s="66"/>
      <c r="GSF393" s="66"/>
      <c r="GSG393" s="66"/>
      <c r="GSH393" s="66"/>
      <c r="GSI393" s="66"/>
      <c r="GSJ393" s="66"/>
      <c r="GSK393" s="66"/>
      <c r="GSL393" s="66"/>
      <c r="GSM393" s="66"/>
      <c r="GSN393" s="66"/>
      <c r="GSO393" s="66"/>
      <c r="GSP393" s="66"/>
      <c r="GSQ393" s="66"/>
      <c r="GSR393" s="66"/>
      <c r="GSS393" s="66"/>
      <c r="GST393" s="66"/>
      <c r="GSU393" s="66"/>
      <c r="GSV393" s="66"/>
      <c r="GSW393" s="66"/>
      <c r="GSX393" s="66"/>
      <c r="GSY393" s="66"/>
      <c r="GSZ393" s="66"/>
      <c r="GTA393" s="66"/>
      <c r="GTB393" s="66"/>
      <c r="GTC393" s="66"/>
      <c r="GTD393" s="66"/>
      <c r="GTE393" s="66"/>
      <c r="GTF393" s="66"/>
      <c r="GTG393" s="66"/>
      <c r="GTH393" s="66"/>
      <c r="GTI393" s="66"/>
      <c r="GTJ393" s="66"/>
      <c r="GTK393" s="66"/>
      <c r="GTL393" s="66"/>
      <c r="GTM393" s="66"/>
      <c r="GTN393" s="66"/>
      <c r="GTO393" s="66"/>
      <c r="GTP393" s="66"/>
      <c r="GTQ393" s="66"/>
      <c r="GTR393" s="66"/>
      <c r="GTS393" s="66"/>
      <c r="GTT393" s="66"/>
      <c r="GTU393" s="66"/>
      <c r="GTV393" s="66"/>
      <c r="GTW393" s="66"/>
      <c r="GTX393" s="66"/>
      <c r="GTY393" s="66"/>
      <c r="GTZ393" s="66"/>
      <c r="GUA393" s="66"/>
      <c r="GUB393" s="66"/>
      <c r="GUC393" s="66"/>
      <c r="GUD393" s="66"/>
      <c r="GUE393" s="66"/>
      <c r="GUF393" s="66"/>
      <c r="GUG393" s="66"/>
      <c r="GUH393" s="66"/>
      <c r="GUI393" s="66"/>
      <c r="GUJ393" s="66"/>
      <c r="GUK393" s="66"/>
      <c r="GUL393" s="66"/>
      <c r="GUM393" s="66"/>
      <c r="GUN393" s="66"/>
      <c r="GUO393" s="66"/>
      <c r="GUP393" s="66"/>
      <c r="GUQ393" s="66"/>
      <c r="GUR393" s="66"/>
      <c r="GUS393" s="66"/>
      <c r="GUT393" s="66"/>
      <c r="GUU393" s="66"/>
      <c r="GUV393" s="66"/>
      <c r="GUW393" s="66"/>
      <c r="GUX393" s="66"/>
      <c r="GUY393" s="66"/>
      <c r="GUZ393" s="66"/>
      <c r="GVA393" s="66"/>
      <c r="GVB393" s="66"/>
      <c r="GVC393" s="66"/>
      <c r="GVD393" s="66"/>
      <c r="GVE393" s="66"/>
      <c r="GVF393" s="66"/>
      <c r="GVG393" s="66"/>
      <c r="GVH393" s="66"/>
      <c r="GVI393" s="66"/>
      <c r="GVJ393" s="66"/>
      <c r="GVK393" s="66"/>
      <c r="GVL393" s="66"/>
      <c r="GVM393" s="66"/>
      <c r="GVN393" s="66"/>
      <c r="GVO393" s="66"/>
      <c r="GVP393" s="66"/>
      <c r="GVQ393" s="66"/>
      <c r="GVR393" s="66"/>
      <c r="GVS393" s="66"/>
      <c r="GVT393" s="66"/>
      <c r="GVU393" s="66"/>
      <c r="GVV393" s="66"/>
      <c r="GVW393" s="66"/>
      <c r="GVX393" s="66"/>
      <c r="GVY393" s="66"/>
      <c r="GVZ393" s="66"/>
      <c r="GWA393" s="66"/>
      <c r="GWB393" s="66"/>
      <c r="GWC393" s="66"/>
      <c r="GWD393" s="66"/>
      <c r="GWE393" s="66"/>
      <c r="GWF393" s="66"/>
      <c r="GWG393" s="66"/>
      <c r="GWH393" s="66"/>
      <c r="GWI393" s="66"/>
      <c r="GWJ393" s="66"/>
      <c r="GWK393" s="66"/>
      <c r="GWL393" s="66"/>
      <c r="GWM393" s="66"/>
      <c r="GWN393" s="66"/>
      <c r="GWO393" s="66"/>
      <c r="GWP393" s="66"/>
      <c r="GWQ393" s="66"/>
      <c r="GWR393" s="66"/>
      <c r="GWS393" s="66"/>
      <c r="GWT393" s="66"/>
      <c r="GWU393" s="66"/>
      <c r="GWV393" s="66"/>
      <c r="GWW393" s="66"/>
      <c r="GWX393" s="66"/>
      <c r="GWY393" s="66"/>
      <c r="GWZ393" s="66"/>
      <c r="GXA393" s="66"/>
      <c r="GXB393" s="66"/>
      <c r="GXC393" s="66"/>
      <c r="GXD393" s="66"/>
      <c r="GXE393" s="66"/>
      <c r="GXF393" s="66"/>
      <c r="GXG393" s="66"/>
      <c r="GXH393" s="66"/>
      <c r="GXI393" s="66"/>
      <c r="GXJ393" s="66"/>
      <c r="GXK393" s="66"/>
      <c r="GXL393" s="66"/>
      <c r="GXM393" s="66"/>
      <c r="GXN393" s="66"/>
      <c r="GXO393" s="66"/>
      <c r="GXP393" s="66"/>
      <c r="GXQ393" s="66"/>
      <c r="GXR393" s="66"/>
      <c r="GXS393" s="66"/>
      <c r="GXT393" s="66"/>
      <c r="GXU393" s="66"/>
      <c r="GXV393" s="66"/>
      <c r="GXW393" s="66"/>
      <c r="GXX393" s="66"/>
      <c r="GXY393" s="66"/>
      <c r="GXZ393" s="66"/>
      <c r="GYA393" s="66"/>
      <c r="GYB393" s="66"/>
      <c r="GYC393" s="66"/>
      <c r="GYD393" s="66"/>
      <c r="GYE393" s="66"/>
      <c r="GYF393" s="66"/>
      <c r="GYG393" s="66"/>
      <c r="GYH393" s="66"/>
      <c r="GYI393" s="66"/>
      <c r="GYJ393" s="66"/>
      <c r="GYK393" s="66"/>
      <c r="GYL393" s="66"/>
      <c r="GYM393" s="66"/>
      <c r="GYN393" s="66"/>
      <c r="GYO393" s="66"/>
      <c r="GYP393" s="66"/>
      <c r="GYQ393" s="66"/>
      <c r="GYR393" s="66"/>
      <c r="GYS393" s="66"/>
      <c r="GYT393" s="66"/>
      <c r="GYU393" s="66"/>
      <c r="GYV393" s="66"/>
      <c r="GYW393" s="66"/>
      <c r="GYX393" s="66"/>
      <c r="GYY393" s="66"/>
      <c r="GYZ393" s="66"/>
      <c r="GZA393" s="66"/>
      <c r="GZB393" s="66"/>
      <c r="GZC393" s="66"/>
      <c r="GZD393" s="66"/>
      <c r="GZE393" s="66"/>
      <c r="GZF393" s="66"/>
      <c r="GZG393" s="66"/>
      <c r="GZH393" s="66"/>
      <c r="GZI393" s="66"/>
      <c r="GZJ393" s="66"/>
      <c r="GZK393" s="66"/>
      <c r="GZL393" s="66"/>
      <c r="GZM393" s="66"/>
      <c r="GZN393" s="66"/>
      <c r="GZO393" s="66"/>
      <c r="GZP393" s="66"/>
      <c r="GZQ393" s="66"/>
      <c r="GZR393" s="66"/>
      <c r="GZS393" s="66"/>
      <c r="GZT393" s="66"/>
      <c r="GZU393" s="66"/>
      <c r="GZV393" s="66"/>
      <c r="GZW393" s="66"/>
      <c r="GZX393" s="66"/>
      <c r="GZY393" s="66"/>
      <c r="GZZ393" s="66"/>
      <c r="HAA393" s="66"/>
      <c r="HAB393" s="66"/>
      <c r="HAC393" s="66"/>
      <c r="HAD393" s="66"/>
      <c r="HAE393" s="66"/>
      <c r="HAF393" s="66"/>
      <c r="HAG393" s="66"/>
      <c r="HAH393" s="66"/>
      <c r="HAI393" s="66"/>
      <c r="HAJ393" s="66"/>
      <c r="HAK393" s="66"/>
      <c r="HAL393" s="66"/>
      <c r="HAM393" s="66"/>
      <c r="HAN393" s="66"/>
      <c r="HAO393" s="66"/>
      <c r="HAP393" s="66"/>
      <c r="HAQ393" s="66"/>
      <c r="HAR393" s="66"/>
      <c r="HAS393" s="66"/>
      <c r="HAT393" s="66"/>
      <c r="HAU393" s="66"/>
      <c r="HAV393" s="66"/>
      <c r="HAW393" s="66"/>
      <c r="HAX393" s="66"/>
      <c r="HAY393" s="66"/>
      <c r="HAZ393" s="66"/>
      <c r="HBA393" s="66"/>
      <c r="HBB393" s="66"/>
      <c r="HBC393" s="66"/>
      <c r="HBD393" s="66"/>
      <c r="HBE393" s="66"/>
      <c r="HBF393" s="66"/>
      <c r="HBG393" s="66"/>
      <c r="HBH393" s="66"/>
      <c r="HBI393" s="66"/>
      <c r="HBJ393" s="66"/>
      <c r="HBK393" s="66"/>
      <c r="HBL393" s="66"/>
      <c r="HBM393" s="66"/>
      <c r="HBN393" s="66"/>
      <c r="HBO393" s="66"/>
      <c r="HBP393" s="66"/>
      <c r="HBQ393" s="66"/>
      <c r="HBR393" s="66"/>
      <c r="HBS393" s="66"/>
      <c r="HBT393" s="66"/>
      <c r="HBU393" s="66"/>
      <c r="HBV393" s="66"/>
      <c r="HBW393" s="66"/>
      <c r="HBX393" s="66"/>
      <c r="HBY393" s="66"/>
      <c r="HBZ393" s="66"/>
      <c r="HCA393" s="66"/>
      <c r="HCB393" s="66"/>
      <c r="HCC393" s="66"/>
      <c r="HCD393" s="66"/>
      <c r="HCE393" s="66"/>
      <c r="HCF393" s="66"/>
      <c r="HCG393" s="66"/>
      <c r="HCH393" s="66"/>
      <c r="HCI393" s="66"/>
      <c r="HCJ393" s="66"/>
      <c r="HCK393" s="66"/>
      <c r="HCL393" s="66"/>
      <c r="HCM393" s="66"/>
      <c r="HCN393" s="66"/>
      <c r="HCO393" s="66"/>
      <c r="HCP393" s="66"/>
      <c r="HCQ393" s="66"/>
      <c r="HCR393" s="66"/>
      <c r="HCS393" s="66"/>
      <c r="HCT393" s="66"/>
      <c r="HCU393" s="66"/>
      <c r="HCV393" s="66"/>
      <c r="HCW393" s="66"/>
      <c r="HCX393" s="66"/>
      <c r="HCY393" s="66"/>
      <c r="HCZ393" s="66"/>
      <c r="HDA393" s="66"/>
      <c r="HDB393" s="66"/>
      <c r="HDC393" s="66"/>
      <c r="HDD393" s="66"/>
      <c r="HDE393" s="66"/>
      <c r="HDF393" s="66"/>
      <c r="HDG393" s="66"/>
      <c r="HDH393" s="66"/>
      <c r="HDI393" s="66"/>
      <c r="HDJ393" s="66"/>
      <c r="HDK393" s="66"/>
      <c r="HDL393" s="66"/>
      <c r="HDM393" s="66"/>
      <c r="HDN393" s="66"/>
      <c r="HDO393" s="66"/>
      <c r="HDP393" s="66"/>
      <c r="HDQ393" s="66"/>
      <c r="HDR393" s="66"/>
      <c r="HDS393" s="66"/>
      <c r="HDT393" s="66"/>
      <c r="HDU393" s="66"/>
      <c r="HDV393" s="66"/>
      <c r="HDW393" s="66"/>
      <c r="HDX393" s="66"/>
      <c r="HDY393" s="66"/>
      <c r="HDZ393" s="66"/>
      <c r="HEA393" s="66"/>
      <c r="HEB393" s="66"/>
      <c r="HEC393" s="66"/>
      <c r="HED393" s="66"/>
      <c r="HEE393" s="66"/>
      <c r="HEF393" s="66"/>
      <c r="HEG393" s="66"/>
      <c r="HEH393" s="66"/>
      <c r="HEI393" s="66"/>
      <c r="HEJ393" s="66"/>
      <c r="HEK393" s="66"/>
      <c r="HEL393" s="66"/>
      <c r="HEM393" s="66"/>
      <c r="HEN393" s="66"/>
      <c r="HEO393" s="66"/>
      <c r="HEP393" s="66"/>
      <c r="HEQ393" s="66"/>
      <c r="HER393" s="66"/>
      <c r="HES393" s="66"/>
      <c r="HET393" s="66"/>
      <c r="HEU393" s="66"/>
      <c r="HEV393" s="66"/>
      <c r="HEW393" s="66"/>
      <c r="HEX393" s="66"/>
      <c r="HEY393" s="66"/>
      <c r="HEZ393" s="66"/>
      <c r="HFA393" s="66"/>
      <c r="HFB393" s="66"/>
      <c r="HFC393" s="66"/>
      <c r="HFD393" s="66"/>
      <c r="HFE393" s="66"/>
      <c r="HFF393" s="66"/>
      <c r="HFG393" s="66"/>
      <c r="HFH393" s="66"/>
      <c r="HFI393" s="66"/>
      <c r="HFJ393" s="66"/>
      <c r="HFK393" s="66"/>
      <c r="HFL393" s="66"/>
      <c r="HFM393" s="66"/>
      <c r="HFN393" s="66"/>
      <c r="HFO393" s="66"/>
      <c r="HFP393" s="66"/>
      <c r="HFQ393" s="66"/>
      <c r="HFR393" s="66"/>
      <c r="HFS393" s="66"/>
      <c r="HFT393" s="66"/>
      <c r="HFU393" s="66"/>
      <c r="HFV393" s="66"/>
      <c r="HFW393" s="66"/>
      <c r="HFX393" s="66"/>
      <c r="HFY393" s="66"/>
      <c r="HFZ393" s="66"/>
      <c r="HGA393" s="66"/>
      <c r="HGB393" s="66"/>
      <c r="HGC393" s="66"/>
      <c r="HGD393" s="66"/>
      <c r="HGE393" s="66"/>
      <c r="HGF393" s="66"/>
      <c r="HGG393" s="66"/>
      <c r="HGH393" s="66"/>
      <c r="HGI393" s="66"/>
      <c r="HGJ393" s="66"/>
      <c r="HGK393" s="66"/>
      <c r="HGL393" s="66"/>
      <c r="HGM393" s="66"/>
      <c r="HGN393" s="66"/>
      <c r="HGO393" s="66"/>
      <c r="HGP393" s="66"/>
      <c r="HGQ393" s="66"/>
      <c r="HGR393" s="66"/>
      <c r="HGS393" s="66"/>
      <c r="HGT393" s="66"/>
      <c r="HGU393" s="66"/>
      <c r="HGV393" s="66"/>
      <c r="HGW393" s="66"/>
      <c r="HGX393" s="66"/>
      <c r="HGY393" s="66"/>
      <c r="HGZ393" s="66"/>
      <c r="HHA393" s="66"/>
      <c r="HHB393" s="66"/>
      <c r="HHC393" s="66"/>
      <c r="HHD393" s="66"/>
      <c r="HHE393" s="66"/>
      <c r="HHF393" s="66"/>
      <c r="HHG393" s="66"/>
      <c r="HHH393" s="66"/>
      <c r="HHI393" s="66"/>
      <c r="HHJ393" s="66"/>
      <c r="HHK393" s="66"/>
      <c r="HHL393" s="66"/>
      <c r="HHM393" s="66"/>
      <c r="HHN393" s="66"/>
      <c r="HHO393" s="66"/>
      <c r="HHP393" s="66"/>
      <c r="HHQ393" s="66"/>
      <c r="HHR393" s="66"/>
      <c r="HHS393" s="66"/>
      <c r="HHT393" s="66"/>
      <c r="HHU393" s="66"/>
      <c r="HHV393" s="66"/>
      <c r="HHW393" s="66"/>
      <c r="HHX393" s="66"/>
      <c r="HHY393" s="66"/>
      <c r="HHZ393" s="66"/>
      <c r="HIA393" s="66"/>
      <c r="HIB393" s="66"/>
      <c r="HIC393" s="66"/>
      <c r="HID393" s="66"/>
      <c r="HIE393" s="66"/>
      <c r="HIF393" s="66"/>
      <c r="HIG393" s="66"/>
      <c r="HIH393" s="66"/>
      <c r="HII393" s="66"/>
      <c r="HIJ393" s="66"/>
      <c r="HIK393" s="66"/>
      <c r="HIL393" s="66"/>
      <c r="HIM393" s="66"/>
      <c r="HIN393" s="66"/>
      <c r="HIO393" s="66"/>
      <c r="HIP393" s="66"/>
      <c r="HIQ393" s="66"/>
      <c r="HIR393" s="66"/>
      <c r="HIS393" s="66"/>
      <c r="HIT393" s="66"/>
      <c r="HIU393" s="66"/>
      <c r="HIV393" s="66"/>
      <c r="HIW393" s="66"/>
      <c r="HIX393" s="66"/>
      <c r="HIY393" s="66"/>
      <c r="HIZ393" s="66"/>
      <c r="HJA393" s="66"/>
      <c r="HJB393" s="66"/>
      <c r="HJC393" s="66"/>
      <c r="HJD393" s="66"/>
      <c r="HJE393" s="66"/>
      <c r="HJF393" s="66"/>
      <c r="HJG393" s="66"/>
      <c r="HJH393" s="66"/>
      <c r="HJI393" s="66"/>
      <c r="HJJ393" s="66"/>
      <c r="HJK393" s="66"/>
      <c r="HJL393" s="66"/>
      <c r="HJM393" s="66"/>
      <c r="HJN393" s="66"/>
      <c r="HJO393" s="66"/>
      <c r="HJP393" s="66"/>
      <c r="HJQ393" s="66"/>
      <c r="HJR393" s="66"/>
      <c r="HJS393" s="66"/>
      <c r="HJT393" s="66"/>
      <c r="HJU393" s="66"/>
      <c r="HJV393" s="66"/>
      <c r="HJW393" s="66"/>
      <c r="HJX393" s="66"/>
      <c r="HJY393" s="66"/>
      <c r="HJZ393" s="66"/>
      <c r="HKA393" s="66"/>
      <c r="HKB393" s="66"/>
      <c r="HKC393" s="66"/>
      <c r="HKD393" s="66"/>
      <c r="HKE393" s="66"/>
      <c r="HKF393" s="66"/>
      <c r="HKG393" s="66"/>
      <c r="HKH393" s="66"/>
      <c r="HKI393" s="66"/>
      <c r="HKJ393" s="66"/>
      <c r="HKK393" s="66"/>
      <c r="HKL393" s="66"/>
      <c r="HKM393" s="66"/>
      <c r="HKN393" s="66"/>
      <c r="HKO393" s="66"/>
      <c r="HKP393" s="66"/>
      <c r="HKQ393" s="66"/>
      <c r="HKR393" s="66"/>
      <c r="HKS393" s="66"/>
      <c r="HKT393" s="66"/>
      <c r="HKU393" s="66"/>
      <c r="HKV393" s="66"/>
      <c r="HKW393" s="66"/>
      <c r="HKX393" s="66"/>
      <c r="HKY393" s="66"/>
      <c r="HKZ393" s="66"/>
      <c r="HLA393" s="66"/>
      <c r="HLB393" s="66"/>
      <c r="HLC393" s="66"/>
      <c r="HLD393" s="66"/>
      <c r="HLE393" s="66"/>
      <c r="HLF393" s="66"/>
      <c r="HLG393" s="66"/>
      <c r="HLH393" s="66"/>
      <c r="HLI393" s="66"/>
      <c r="HLJ393" s="66"/>
      <c r="HLK393" s="66"/>
      <c r="HLL393" s="66"/>
      <c r="HLM393" s="66"/>
      <c r="HLN393" s="66"/>
      <c r="HLO393" s="66"/>
      <c r="HLP393" s="66"/>
      <c r="HLQ393" s="66"/>
      <c r="HLR393" s="66"/>
      <c r="HLS393" s="66"/>
      <c r="HLT393" s="66"/>
      <c r="HLU393" s="66"/>
      <c r="HLV393" s="66"/>
      <c r="HLW393" s="66"/>
      <c r="HLX393" s="66"/>
      <c r="HLY393" s="66"/>
      <c r="HLZ393" s="66"/>
      <c r="HMA393" s="66"/>
      <c r="HMB393" s="66"/>
      <c r="HMC393" s="66"/>
      <c r="HMD393" s="66"/>
      <c r="HME393" s="66"/>
      <c r="HMF393" s="66"/>
      <c r="HMG393" s="66"/>
      <c r="HMH393" s="66"/>
      <c r="HMI393" s="66"/>
      <c r="HMJ393" s="66"/>
      <c r="HMK393" s="66"/>
      <c r="HML393" s="66"/>
      <c r="HMM393" s="66"/>
      <c r="HMN393" s="66"/>
      <c r="HMO393" s="66"/>
      <c r="HMP393" s="66"/>
      <c r="HMQ393" s="66"/>
      <c r="HMR393" s="66"/>
      <c r="HMS393" s="66"/>
      <c r="HMT393" s="66"/>
      <c r="HMU393" s="66"/>
      <c r="HMV393" s="66"/>
      <c r="HMW393" s="66"/>
      <c r="HMX393" s="66"/>
      <c r="HMY393" s="66"/>
      <c r="HMZ393" s="66"/>
      <c r="HNA393" s="66"/>
      <c r="HNB393" s="66"/>
      <c r="HNC393" s="66"/>
      <c r="HND393" s="66"/>
      <c r="HNE393" s="66"/>
      <c r="HNF393" s="66"/>
      <c r="HNG393" s="66"/>
      <c r="HNH393" s="66"/>
      <c r="HNI393" s="66"/>
      <c r="HNJ393" s="66"/>
      <c r="HNK393" s="66"/>
      <c r="HNL393" s="66"/>
      <c r="HNM393" s="66"/>
      <c r="HNN393" s="66"/>
      <c r="HNO393" s="66"/>
      <c r="HNP393" s="66"/>
      <c r="HNQ393" s="66"/>
      <c r="HNR393" s="66"/>
      <c r="HNS393" s="66"/>
      <c r="HNT393" s="66"/>
      <c r="HNU393" s="66"/>
      <c r="HNV393" s="66"/>
      <c r="HNW393" s="66"/>
      <c r="HNX393" s="66"/>
      <c r="HNY393" s="66"/>
      <c r="HNZ393" s="66"/>
      <c r="HOA393" s="66"/>
      <c r="HOB393" s="66"/>
      <c r="HOC393" s="66"/>
      <c r="HOD393" s="66"/>
      <c r="HOE393" s="66"/>
      <c r="HOF393" s="66"/>
      <c r="HOG393" s="66"/>
      <c r="HOH393" s="66"/>
      <c r="HOI393" s="66"/>
      <c r="HOJ393" s="66"/>
      <c r="HOK393" s="66"/>
      <c r="HOL393" s="66"/>
      <c r="HOM393" s="66"/>
      <c r="HON393" s="66"/>
      <c r="HOO393" s="66"/>
      <c r="HOP393" s="66"/>
      <c r="HOQ393" s="66"/>
      <c r="HOR393" s="66"/>
      <c r="HOS393" s="66"/>
      <c r="HOT393" s="66"/>
      <c r="HOU393" s="66"/>
      <c r="HOV393" s="66"/>
      <c r="HOW393" s="66"/>
      <c r="HOX393" s="66"/>
      <c r="HOY393" s="66"/>
      <c r="HOZ393" s="66"/>
      <c r="HPA393" s="66"/>
      <c r="HPB393" s="66"/>
      <c r="HPC393" s="66"/>
      <c r="HPD393" s="66"/>
      <c r="HPE393" s="66"/>
      <c r="HPF393" s="66"/>
      <c r="HPG393" s="66"/>
      <c r="HPH393" s="66"/>
      <c r="HPI393" s="66"/>
      <c r="HPJ393" s="66"/>
      <c r="HPK393" s="66"/>
      <c r="HPL393" s="66"/>
      <c r="HPM393" s="66"/>
      <c r="HPN393" s="66"/>
      <c r="HPO393" s="66"/>
      <c r="HPP393" s="66"/>
      <c r="HPQ393" s="66"/>
      <c r="HPR393" s="66"/>
      <c r="HPS393" s="66"/>
      <c r="HPT393" s="66"/>
      <c r="HPU393" s="66"/>
      <c r="HPV393" s="66"/>
      <c r="HPW393" s="66"/>
      <c r="HPX393" s="66"/>
      <c r="HPY393" s="66"/>
      <c r="HPZ393" s="66"/>
      <c r="HQA393" s="66"/>
      <c r="HQB393" s="66"/>
      <c r="HQC393" s="66"/>
      <c r="HQD393" s="66"/>
      <c r="HQE393" s="66"/>
      <c r="HQF393" s="66"/>
      <c r="HQG393" s="66"/>
      <c r="HQH393" s="66"/>
      <c r="HQI393" s="66"/>
      <c r="HQJ393" s="66"/>
      <c r="HQK393" s="66"/>
      <c r="HQL393" s="66"/>
      <c r="HQM393" s="66"/>
      <c r="HQN393" s="66"/>
      <c r="HQO393" s="66"/>
      <c r="HQP393" s="66"/>
      <c r="HQQ393" s="66"/>
      <c r="HQR393" s="66"/>
      <c r="HQS393" s="66"/>
      <c r="HQT393" s="66"/>
      <c r="HQU393" s="66"/>
      <c r="HQV393" s="66"/>
      <c r="HQW393" s="66"/>
      <c r="HQX393" s="66"/>
      <c r="HQY393" s="66"/>
      <c r="HQZ393" s="66"/>
      <c r="HRA393" s="66"/>
      <c r="HRB393" s="66"/>
      <c r="HRC393" s="66"/>
      <c r="HRD393" s="66"/>
      <c r="HRE393" s="66"/>
      <c r="HRF393" s="66"/>
      <c r="HRG393" s="66"/>
      <c r="HRH393" s="66"/>
      <c r="HRI393" s="66"/>
      <c r="HRJ393" s="66"/>
      <c r="HRK393" s="66"/>
      <c r="HRL393" s="66"/>
      <c r="HRM393" s="66"/>
      <c r="HRN393" s="66"/>
      <c r="HRO393" s="66"/>
      <c r="HRP393" s="66"/>
      <c r="HRQ393" s="66"/>
      <c r="HRR393" s="66"/>
      <c r="HRS393" s="66"/>
      <c r="HRT393" s="66"/>
      <c r="HRU393" s="66"/>
      <c r="HRV393" s="66"/>
      <c r="HRW393" s="66"/>
      <c r="HRX393" s="66"/>
      <c r="HRY393" s="66"/>
      <c r="HRZ393" s="66"/>
      <c r="HSA393" s="66"/>
      <c r="HSB393" s="66"/>
      <c r="HSC393" s="66"/>
      <c r="HSD393" s="66"/>
      <c r="HSE393" s="66"/>
      <c r="HSF393" s="66"/>
      <c r="HSG393" s="66"/>
      <c r="HSH393" s="66"/>
      <c r="HSI393" s="66"/>
      <c r="HSJ393" s="66"/>
      <c r="HSK393" s="66"/>
      <c r="HSL393" s="66"/>
      <c r="HSM393" s="66"/>
      <c r="HSN393" s="66"/>
      <c r="HSO393" s="66"/>
      <c r="HSP393" s="66"/>
      <c r="HSQ393" s="66"/>
      <c r="HSR393" s="66"/>
      <c r="HSS393" s="66"/>
      <c r="HST393" s="66"/>
      <c r="HSU393" s="66"/>
      <c r="HSV393" s="66"/>
      <c r="HSW393" s="66"/>
      <c r="HSX393" s="66"/>
      <c r="HSY393" s="66"/>
      <c r="HSZ393" s="66"/>
      <c r="HTA393" s="66"/>
      <c r="HTB393" s="66"/>
      <c r="HTC393" s="66"/>
      <c r="HTD393" s="66"/>
      <c r="HTE393" s="66"/>
      <c r="HTF393" s="66"/>
      <c r="HTG393" s="66"/>
      <c r="HTH393" s="66"/>
      <c r="HTI393" s="66"/>
      <c r="HTJ393" s="66"/>
      <c r="HTK393" s="66"/>
      <c r="HTL393" s="66"/>
      <c r="HTM393" s="66"/>
      <c r="HTN393" s="66"/>
      <c r="HTO393" s="66"/>
      <c r="HTP393" s="66"/>
      <c r="HTQ393" s="66"/>
      <c r="HTR393" s="66"/>
      <c r="HTS393" s="66"/>
      <c r="HTT393" s="66"/>
      <c r="HTU393" s="66"/>
      <c r="HTV393" s="66"/>
      <c r="HTW393" s="66"/>
      <c r="HTX393" s="66"/>
      <c r="HTY393" s="66"/>
      <c r="HTZ393" s="66"/>
      <c r="HUA393" s="66"/>
      <c r="HUB393" s="66"/>
      <c r="HUC393" s="66"/>
      <c r="HUD393" s="66"/>
      <c r="HUE393" s="66"/>
      <c r="HUF393" s="66"/>
      <c r="HUG393" s="66"/>
      <c r="HUH393" s="66"/>
      <c r="HUI393" s="66"/>
      <c r="HUJ393" s="66"/>
      <c r="HUK393" s="66"/>
      <c r="HUL393" s="66"/>
      <c r="HUM393" s="66"/>
      <c r="HUN393" s="66"/>
      <c r="HUO393" s="66"/>
      <c r="HUP393" s="66"/>
      <c r="HUQ393" s="66"/>
      <c r="HUR393" s="66"/>
      <c r="HUS393" s="66"/>
      <c r="HUT393" s="66"/>
      <c r="HUU393" s="66"/>
      <c r="HUV393" s="66"/>
      <c r="HUW393" s="66"/>
      <c r="HUX393" s="66"/>
      <c r="HUY393" s="66"/>
      <c r="HUZ393" s="66"/>
      <c r="HVA393" s="66"/>
      <c r="HVB393" s="66"/>
      <c r="HVC393" s="66"/>
      <c r="HVD393" s="66"/>
      <c r="HVE393" s="66"/>
      <c r="HVF393" s="66"/>
      <c r="HVG393" s="66"/>
      <c r="HVH393" s="66"/>
      <c r="HVI393" s="66"/>
      <c r="HVJ393" s="66"/>
      <c r="HVK393" s="66"/>
      <c r="HVL393" s="66"/>
      <c r="HVM393" s="66"/>
      <c r="HVN393" s="66"/>
      <c r="HVO393" s="66"/>
      <c r="HVP393" s="66"/>
      <c r="HVQ393" s="66"/>
      <c r="HVR393" s="66"/>
      <c r="HVS393" s="66"/>
      <c r="HVT393" s="66"/>
      <c r="HVU393" s="66"/>
      <c r="HVV393" s="66"/>
      <c r="HVW393" s="66"/>
      <c r="HVX393" s="66"/>
      <c r="HVY393" s="66"/>
      <c r="HVZ393" s="66"/>
      <c r="HWA393" s="66"/>
      <c r="HWB393" s="66"/>
      <c r="HWC393" s="66"/>
      <c r="HWD393" s="66"/>
      <c r="HWE393" s="66"/>
      <c r="HWF393" s="66"/>
      <c r="HWG393" s="66"/>
      <c r="HWH393" s="66"/>
      <c r="HWI393" s="66"/>
      <c r="HWJ393" s="66"/>
      <c r="HWK393" s="66"/>
      <c r="HWL393" s="66"/>
      <c r="HWM393" s="66"/>
      <c r="HWN393" s="66"/>
      <c r="HWO393" s="66"/>
      <c r="HWP393" s="66"/>
      <c r="HWQ393" s="66"/>
      <c r="HWR393" s="66"/>
      <c r="HWS393" s="66"/>
      <c r="HWT393" s="66"/>
      <c r="HWU393" s="66"/>
      <c r="HWV393" s="66"/>
      <c r="HWW393" s="66"/>
      <c r="HWX393" s="66"/>
      <c r="HWY393" s="66"/>
      <c r="HWZ393" s="66"/>
      <c r="HXA393" s="66"/>
      <c r="HXB393" s="66"/>
      <c r="HXC393" s="66"/>
      <c r="HXD393" s="66"/>
      <c r="HXE393" s="66"/>
      <c r="HXF393" s="66"/>
      <c r="HXG393" s="66"/>
      <c r="HXH393" s="66"/>
      <c r="HXI393" s="66"/>
      <c r="HXJ393" s="66"/>
      <c r="HXK393" s="66"/>
      <c r="HXL393" s="66"/>
      <c r="HXM393" s="66"/>
      <c r="HXN393" s="66"/>
      <c r="HXO393" s="66"/>
      <c r="HXP393" s="66"/>
      <c r="HXQ393" s="66"/>
      <c r="HXR393" s="66"/>
      <c r="HXS393" s="66"/>
      <c r="HXT393" s="66"/>
      <c r="HXU393" s="66"/>
      <c r="HXV393" s="66"/>
      <c r="HXW393" s="66"/>
      <c r="HXX393" s="66"/>
      <c r="HXY393" s="66"/>
      <c r="HXZ393" s="66"/>
      <c r="HYA393" s="66"/>
      <c r="HYB393" s="66"/>
      <c r="HYC393" s="66"/>
      <c r="HYD393" s="66"/>
      <c r="HYE393" s="66"/>
      <c r="HYF393" s="66"/>
      <c r="HYG393" s="66"/>
      <c r="HYH393" s="66"/>
      <c r="HYI393" s="66"/>
      <c r="HYJ393" s="66"/>
      <c r="HYK393" s="66"/>
      <c r="HYL393" s="66"/>
      <c r="HYM393" s="66"/>
      <c r="HYN393" s="66"/>
      <c r="HYO393" s="66"/>
      <c r="HYP393" s="66"/>
      <c r="HYQ393" s="66"/>
      <c r="HYR393" s="66"/>
      <c r="HYS393" s="66"/>
      <c r="HYT393" s="66"/>
      <c r="HYU393" s="66"/>
      <c r="HYV393" s="66"/>
      <c r="HYW393" s="66"/>
      <c r="HYX393" s="66"/>
      <c r="HYY393" s="66"/>
      <c r="HYZ393" s="66"/>
      <c r="HZA393" s="66"/>
      <c r="HZB393" s="66"/>
      <c r="HZC393" s="66"/>
      <c r="HZD393" s="66"/>
      <c r="HZE393" s="66"/>
      <c r="HZF393" s="66"/>
      <c r="HZG393" s="66"/>
      <c r="HZH393" s="66"/>
      <c r="HZI393" s="66"/>
      <c r="HZJ393" s="66"/>
      <c r="HZK393" s="66"/>
      <c r="HZL393" s="66"/>
      <c r="HZM393" s="66"/>
      <c r="HZN393" s="66"/>
      <c r="HZO393" s="66"/>
      <c r="HZP393" s="66"/>
      <c r="HZQ393" s="66"/>
      <c r="HZR393" s="66"/>
      <c r="HZS393" s="66"/>
      <c r="HZT393" s="66"/>
      <c r="HZU393" s="66"/>
      <c r="HZV393" s="66"/>
      <c r="HZW393" s="66"/>
      <c r="HZX393" s="66"/>
      <c r="HZY393" s="66"/>
      <c r="HZZ393" s="66"/>
      <c r="IAA393" s="66"/>
      <c r="IAB393" s="66"/>
      <c r="IAC393" s="66"/>
      <c r="IAD393" s="66"/>
      <c r="IAE393" s="66"/>
      <c r="IAF393" s="66"/>
      <c r="IAG393" s="66"/>
      <c r="IAH393" s="66"/>
      <c r="IAI393" s="66"/>
      <c r="IAJ393" s="66"/>
      <c r="IAK393" s="66"/>
      <c r="IAL393" s="66"/>
      <c r="IAM393" s="66"/>
      <c r="IAN393" s="66"/>
      <c r="IAO393" s="66"/>
      <c r="IAP393" s="66"/>
      <c r="IAQ393" s="66"/>
      <c r="IAR393" s="66"/>
      <c r="IAS393" s="66"/>
      <c r="IAT393" s="66"/>
      <c r="IAU393" s="66"/>
      <c r="IAV393" s="66"/>
      <c r="IAW393" s="66"/>
      <c r="IAX393" s="66"/>
      <c r="IAY393" s="66"/>
      <c r="IAZ393" s="66"/>
      <c r="IBA393" s="66"/>
      <c r="IBB393" s="66"/>
      <c r="IBC393" s="66"/>
      <c r="IBD393" s="66"/>
      <c r="IBE393" s="66"/>
      <c r="IBF393" s="66"/>
      <c r="IBG393" s="66"/>
      <c r="IBH393" s="66"/>
      <c r="IBI393" s="66"/>
      <c r="IBJ393" s="66"/>
      <c r="IBK393" s="66"/>
      <c r="IBL393" s="66"/>
      <c r="IBM393" s="66"/>
      <c r="IBN393" s="66"/>
      <c r="IBO393" s="66"/>
      <c r="IBP393" s="66"/>
      <c r="IBQ393" s="66"/>
      <c r="IBR393" s="66"/>
      <c r="IBS393" s="66"/>
      <c r="IBT393" s="66"/>
      <c r="IBU393" s="66"/>
      <c r="IBV393" s="66"/>
      <c r="IBW393" s="66"/>
      <c r="IBX393" s="66"/>
      <c r="IBY393" s="66"/>
      <c r="IBZ393" s="66"/>
      <c r="ICA393" s="66"/>
      <c r="ICB393" s="66"/>
      <c r="ICC393" s="66"/>
      <c r="ICD393" s="66"/>
      <c r="ICE393" s="66"/>
      <c r="ICF393" s="66"/>
      <c r="ICG393" s="66"/>
      <c r="ICH393" s="66"/>
      <c r="ICI393" s="66"/>
      <c r="ICJ393" s="66"/>
      <c r="ICK393" s="66"/>
      <c r="ICL393" s="66"/>
      <c r="ICM393" s="66"/>
      <c r="ICN393" s="66"/>
      <c r="ICO393" s="66"/>
      <c r="ICP393" s="66"/>
      <c r="ICQ393" s="66"/>
      <c r="ICR393" s="66"/>
      <c r="ICS393" s="66"/>
      <c r="ICT393" s="66"/>
      <c r="ICU393" s="66"/>
      <c r="ICV393" s="66"/>
      <c r="ICW393" s="66"/>
      <c r="ICX393" s="66"/>
      <c r="ICY393" s="66"/>
      <c r="ICZ393" s="66"/>
      <c r="IDA393" s="66"/>
      <c r="IDB393" s="66"/>
      <c r="IDC393" s="66"/>
      <c r="IDD393" s="66"/>
      <c r="IDE393" s="66"/>
      <c r="IDF393" s="66"/>
      <c r="IDG393" s="66"/>
      <c r="IDH393" s="66"/>
      <c r="IDI393" s="66"/>
      <c r="IDJ393" s="66"/>
      <c r="IDK393" s="66"/>
      <c r="IDL393" s="66"/>
      <c r="IDM393" s="66"/>
      <c r="IDN393" s="66"/>
      <c r="IDO393" s="66"/>
      <c r="IDP393" s="66"/>
      <c r="IDQ393" s="66"/>
      <c r="IDR393" s="66"/>
      <c r="IDS393" s="66"/>
      <c r="IDT393" s="66"/>
      <c r="IDU393" s="66"/>
      <c r="IDV393" s="66"/>
      <c r="IDW393" s="66"/>
      <c r="IDX393" s="66"/>
      <c r="IDY393" s="66"/>
      <c r="IDZ393" s="66"/>
      <c r="IEA393" s="66"/>
      <c r="IEB393" s="66"/>
      <c r="IEC393" s="66"/>
      <c r="IED393" s="66"/>
      <c r="IEE393" s="66"/>
      <c r="IEF393" s="66"/>
      <c r="IEG393" s="66"/>
      <c r="IEH393" s="66"/>
      <c r="IEI393" s="66"/>
      <c r="IEJ393" s="66"/>
      <c r="IEK393" s="66"/>
      <c r="IEL393" s="66"/>
      <c r="IEM393" s="66"/>
      <c r="IEN393" s="66"/>
      <c r="IEO393" s="66"/>
      <c r="IEP393" s="66"/>
      <c r="IEQ393" s="66"/>
      <c r="IER393" s="66"/>
      <c r="IES393" s="66"/>
      <c r="IET393" s="66"/>
      <c r="IEU393" s="66"/>
      <c r="IEV393" s="66"/>
      <c r="IEW393" s="66"/>
      <c r="IEX393" s="66"/>
      <c r="IEY393" s="66"/>
      <c r="IEZ393" s="66"/>
      <c r="IFA393" s="66"/>
      <c r="IFB393" s="66"/>
      <c r="IFC393" s="66"/>
      <c r="IFD393" s="66"/>
      <c r="IFE393" s="66"/>
      <c r="IFF393" s="66"/>
      <c r="IFG393" s="66"/>
      <c r="IFH393" s="66"/>
      <c r="IFI393" s="66"/>
      <c r="IFJ393" s="66"/>
      <c r="IFK393" s="66"/>
      <c r="IFL393" s="66"/>
      <c r="IFM393" s="66"/>
      <c r="IFN393" s="66"/>
      <c r="IFO393" s="66"/>
      <c r="IFP393" s="66"/>
      <c r="IFQ393" s="66"/>
      <c r="IFR393" s="66"/>
      <c r="IFS393" s="66"/>
      <c r="IFT393" s="66"/>
      <c r="IFU393" s="66"/>
      <c r="IFV393" s="66"/>
      <c r="IFW393" s="66"/>
      <c r="IFX393" s="66"/>
      <c r="IFY393" s="66"/>
      <c r="IFZ393" s="66"/>
      <c r="IGA393" s="66"/>
      <c r="IGB393" s="66"/>
      <c r="IGC393" s="66"/>
      <c r="IGD393" s="66"/>
      <c r="IGE393" s="66"/>
      <c r="IGF393" s="66"/>
      <c r="IGG393" s="66"/>
      <c r="IGH393" s="66"/>
      <c r="IGI393" s="66"/>
      <c r="IGJ393" s="66"/>
      <c r="IGK393" s="66"/>
      <c r="IGL393" s="66"/>
      <c r="IGM393" s="66"/>
      <c r="IGN393" s="66"/>
      <c r="IGO393" s="66"/>
      <c r="IGP393" s="66"/>
      <c r="IGQ393" s="66"/>
      <c r="IGR393" s="66"/>
      <c r="IGS393" s="66"/>
      <c r="IGT393" s="66"/>
      <c r="IGU393" s="66"/>
      <c r="IGV393" s="66"/>
      <c r="IGW393" s="66"/>
      <c r="IGX393" s="66"/>
      <c r="IGY393" s="66"/>
      <c r="IGZ393" s="66"/>
      <c r="IHA393" s="66"/>
      <c r="IHB393" s="66"/>
      <c r="IHC393" s="66"/>
      <c r="IHD393" s="66"/>
      <c r="IHE393" s="66"/>
      <c r="IHF393" s="66"/>
      <c r="IHG393" s="66"/>
      <c r="IHH393" s="66"/>
      <c r="IHI393" s="66"/>
      <c r="IHJ393" s="66"/>
      <c r="IHK393" s="66"/>
      <c r="IHL393" s="66"/>
      <c r="IHM393" s="66"/>
      <c r="IHN393" s="66"/>
      <c r="IHO393" s="66"/>
      <c r="IHP393" s="66"/>
      <c r="IHQ393" s="66"/>
      <c r="IHR393" s="66"/>
      <c r="IHS393" s="66"/>
      <c r="IHT393" s="66"/>
      <c r="IHU393" s="66"/>
      <c r="IHV393" s="66"/>
      <c r="IHW393" s="66"/>
      <c r="IHX393" s="66"/>
      <c r="IHY393" s="66"/>
      <c r="IHZ393" s="66"/>
      <c r="IIA393" s="66"/>
      <c r="IIB393" s="66"/>
      <c r="IIC393" s="66"/>
      <c r="IID393" s="66"/>
      <c r="IIE393" s="66"/>
      <c r="IIF393" s="66"/>
      <c r="IIG393" s="66"/>
      <c r="IIH393" s="66"/>
      <c r="III393" s="66"/>
      <c r="IIJ393" s="66"/>
      <c r="IIK393" s="66"/>
      <c r="IIL393" s="66"/>
      <c r="IIM393" s="66"/>
      <c r="IIN393" s="66"/>
      <c r="IIO393" s="66"/>
      <c r="IIP393" s="66"/>
      <c r="IIQ393" s="66"/>
      <c r="IIR393" s="66"/>
      <c r="IIS393" s="66"/>
      <c r="IIT393" s="66"/>
      <c r="IIU393" s="66"/>
      <c r="IIV393" s="66"/>
      <c r="IIW393" s="66"/>
      <c r="IIX393" s="66"/>
      <c r="IIY393" s="66"/>
      <c r="IIZ393" s="66"/>
      <c r="IJA393" s="66"/>
      <c r="IJB393" s="66"/>
      <c r="IJC393" s="66"/>
      <c r="IJD393" s="66"/>
      <c r="IJE393" s="66"/>
      <c r="IJF393" s="66"/>
      <c r="IJG393" s="66"/>
      <c r="IJH393" s="66"/>
      <c r="IJI393" s="66"/>
      <c r="IJJ393" s="66"/>
      <c r="IJK393" s="66"/>
      <c r="IJL393" s="66"/>
      <c r="IJM393" s="66"/>
      <c r="IJN393" s="66"/>
      <c r="IJO393" s="66"/>
      <c r="IJP393" s="66"/>
      <c r="IJQ393" s="66"/>
      <c r="IJR393" s="66"/>
      <c r="IJS393" s="66"/>
      <c r="IJT393" s="66"/>
      <c r="IJU393" s="66"/>
      <c r="IJV393" s="66"/>
      <c r="IJW393" s="66"/>
      <c r="IJX393" s="66"/>
      <c r="IJY393" s="66"/>
      <c r="IJZ393" s="66"/>
      <c r="IKA393" s="66"/>
      <c r="IKB393" s="66"/>
      <c r="IKC393" s="66"/>
      <c r="IKD393" s="66"/>
      <c r="IKE393" s="66"/>
      <c r="IKF393" s="66"/>
      <c r="IKG393" s="66"/>
      <c r="IKH393" s="66"/>
      <c r="IKI393" s="66"/>
      <c r="IKJ393" s="66"/>
      <c r="IKK393" s="66"/>
      <c r="IKL393" s="66"/>
      <c r="IKM393" s="66"/>
      <c r="IKN393" s="66"/>
      <c r="IKO393" s="66"/>
      <c r="IKP393" s="66"/>
      <c r="IKQ393" s="66"/>
      <c r="IKR393" s="66"/>
      <c r="IKS393" s="66"/>
      <c r="IKT393" s="66"/>
      <c r="IKU393" s="66"/>
      <c r="IKV393" s="66"/>
      <c r="IKW393" s="66"/>
      <c r="IKX393" s="66"/>
      <c r="IKY393" s="66"/>
      <c r="IKZ393" s="66"/>
      <c r="ILA393" s="66"/>
      <c r="ILB393" s="66"/>
      <c r="ILC393" s="66"/>
      <c r="ILD393" s="66"/>
      <c r="ILE393" s="66"/>
      <c r="ILF393" s="66"/>
      <c r="ILG393" s="66"/>
      <c r="ILH393" s="66"/>
      <c r="ILI393" s="66"/>
      <c r="ILJ393" s="66"/>
      <c r="ILK393" s="66"/>
      <c r="ILL393" s="66"/>
      <c r="ILM393" s="66"/>
      <c r="ILN393" s="66"/>
      <c r="ILO393" s="66"/>
      <c r="ILP393" s="66"/>
      <c r="ILQ393" s="66"/>
      <c r="ILR393" s="66"/>
      <c r="ILS393" s="66"/>
      <c r="ILT393" s="66"/>
      <c r="ILU393" s="66"/>
      <c r="ILV393" s="66"/>
      <c r="ILW393" s="66"/>
      <c r="ILX393" s="66"/>
      <c r="ILY393" s="66"/>
      <c r="ILZ393" s="66"/>
      <c r="IMA393" s="66"/>
      <c r="IMB393" s="66"/>
      <c r="IMC393" s="66"/>
      <c r="IMD393" s="66"/>
      <c r="IME393" s="66"/>
      <c r="IMF393" s="66"/>
      <c r="IMG393" s="66"/>
      <c r="IMH393" s="66"/>
      <c r="IMI393" s="66"/>
      <c r="IMJ393" s="66"/>
      <c r="IMK393" s="66"/>
      <c r="IML393" s="66"/>
      <c r="IMM393" s="66"/>
      <c r="IMN393" s="66"/>
      <c r="IMO393" s="66"/>
      <c r="IMP393" s="66"/>
      <c r="IMQ393" s="66"/>
      <c r="IMR393" s="66"/>
      <c r="IMS393" s="66"/>
      <c r="IMT393" s="66"/>
      <c r="IMU393" s="66"/>
      <c r="IMV393" s="66"/>
      <c r="IMW393" s="66"/>
      <c r="IMX393" s="66"/>
      <c r="IMY393" s="66"/>
      <c r="IMZ393" s="66"/>
      <c r="INA393" s="66"/>
      <c r="INB393" s="66"/>
      <c r="INC393" s="66"/>
      <c r="IND393" s="66"/>
      <c r="INE393" s="66"/>
      <c r="INF393" s="66"/>
      <c r="ING393" s="66"/>
      <c r="INH393" s="66"/>
      <c r="INI393" s="66"/>
      <c r="INJ393" s="66"/>
      <c r="INK393" s="66"/>
      <c r="INL393" s="66"/>
      <c r="INM393" s="66"/>
      <c r="INN393" s="66"/>
      <c r="INO393" s="66"/>
      <c r="INP393" s="66"/>
      <c r="INQ393" s="66"/>
      <c r="INR393" s="66"/>
      <c r="INS393" s="66"/>
      <c r="INT393" s="66"/>
      <c r="INU393" s="66"/>
      <c r="INV393" s="66"/>
      <c r="INW393" s="66"/>
      <c r="INX393" s="66"/>
      <c r="INY393" s="66"/>
      <c r="INZ393" s="66"/>
      <c r="IOA393" s="66"/>
      <c r="IOB393" s="66"/>
      <c r="IOC393" s="66"/>
      <c r="IOD393" s="66"/>
      <c r="IOE393" s="66"/>
      <c r="IOF393" s="66"/>
      <c r="IOG393" s="66"/>
      <c r="IOH393" s="66"/>
      <c r="IOI393" s="66"/>
      <c r="IOJ393" s="66"/>
      <c r="IOK393" s="66"/>
      <c r="IOL393" s="66"/>
      <c r="IOM393" s="66"/>
      <c r="ION393" s="66"/>
      <c r="IOO393" s="66"/>
      <c r="IOP393" s="66"/>
      <c r="IOQ393" s="66"/>
      <c r="IOR393" s="66"/>
      <c r="IOS393" s="66"/>
      <c r="IOT393" s="66"/>
      <c r="IOU393" s="66"/>
      <c r="IOV393" s="66"/>
      <c r="IOW393" s="66"/>
      <c r="IOX393" s="66"/>
      <c r="IOY393" s="66"/>
      <c r="IOZ393" s="66"/>
      <c r="IPA393" s="66"/>
      <c r="IPB393" s="66"/>
      <c r="IPC393" s="66"/>
      <c r="IPD393" s="66"/>
      <c r="IPE393" s="66"/>
      <c r="IPF393" s="66"/>
      <c r="IPG393" s="66"/>
      <c r="IPH393" s="66"/>
      <c r="IPI393" s="66"/>
      <c r="IPJ393" s="66"/>
      <c r="IPK393" s="66"/>
      <c r="IPL393" s="66"/>
      <c r="IPM393" s="66"/>
      <c r="IPN393" s="66"/>
      <c r="IPO393" s="66"/>
      <c r="IPP393" s="66"/>
      <c r="IPQ393" s="66"/>
      <c r="IPR393" s="66"/>
      <c r="IPS393" s="66"/>
      <c r="IPT393" s="66"/>
      <c r="IPU393" s="66"/>
      <c r="IPV393" s="66"/>
      <c r="IPW393" s="66"/>
      <c r="IPX393" s="66"/>
      <c r="IPY393" s="66"/>
      <c r="IPZ393" s="66"/>
      <c r="IQA393" s="66"/>
      <c r="IQB393" s="66"/>
      <c r="IQC393" s="66"/>
      <c r="IQD393" s="66"/>
      <c r="IQE393" s="66"/>
      <c r="IQF393" s="66"/>
      <c r="IQG393" s="66"/>
      <c r="IQH393" s="66"/>
      <c r="IQI393" s="66"/>
      <c r="IQJ393" s="66"/>
      <c r="IQK393" s="66"/>
      <c r="IQL393" s="66"/>
      <c r="IQM393" s="66"/>
      <c r="IQN393" s="66"/>
      <c r="IQO393" s="66"/>
      <c r="IQP393" s="66"/>
      <c r="IQQ393" s="66"/>
      <c r="IQR393" s="66"/>
      <c r="IQS393" s="66"/>
      <c r="IQT393" s="66"/>
      <c r="IQU393" s="66"/>
      <c r="IQV393" s="66"/>
      <c r="IQW393" s="66"/>
      <c r="IQX393" s="66"/>
      <c r="IQY393" s="66"/>
      <c r="IQZ393" s="66"/>
      <c r="IRA393" s="66"/>
      <c r="IRB393" s="66"/>
      <c r="IRC393" s="66"/>
      <c r="IRD393" s="66"/>
      <c r="IRE393" s="66"/>
      <c r="IRF393" s="66"/>
      <c r="IRG393" s="66"/>
      <c r="IRH393" s="66"/>
      <c r="IRI393" s="66"/>
      <c r="IRJ393" s="66"/>
      <c r="IRK393" s="66"/>
      <c r="IRL393" s="66"/>
      <c r="IRM393" s="66"/>
      <c r="IRN393" s="66"/>
      <c r="IRO393" s="66"/>
      <c r="IRP393" s="66"/>
      <c r="IRQ393" s="66"/>
      <c r="IRR393" s="66"/>
      <c r="IRS393" s="66"/>
      <c r="IRT393" s="66"/>
      <c r="IRU393" s="66"/>
      <c r="IRV393" s="66"/>
      <c r="IRW393" s="66"/>
      <c r="IRX393" s="66"/>
      <c r="IRY393" s="66"/>
      <c r="IRZ393" s="66"/>
      <c r="ISA393" s="66"/>
      <c r="ISB393" s="66"/>
      <c r="ISC393" s="66"/>
      <c r="ISD393" s="66"/>
      <c r="ISE393" s="66"/>
      <c r="ISF393" s="66"/>
      <c r="ISG393" s="66"/>
      <c r="ISH393" s="66"/>
      <c r="ISI393" s="66"/>
      <c r="ISJ393" s="66"/>
      <c r="ISK393" s="66"/>
      <c r="ISL393" s="66"/>
      <c r="ISM393" s="66"/>
      <c r="ISN393" s="66"/>
      <c r="ISO393" s="66"/>
      <c r="ISP393" s="66"/>
      <c r="ISQ393" s="66"/>
      <c r="ISR393" s="66"/>
      <c r="ISS393" s="66"/>
      <c r="IST393" s="66"/>
      <c r="ISU393" s="66"/>
      <c r="ISV393" s="66"/>
      <c r="ISW393" s="66"/>
      <c r="ISX393" s="66"/>
      <c r="ISY393" s="66"/>
      <c r="ISZ393" s="66"/>
      <c r="ITA393" s="66"/>
      <c r="ITB393" s="66"/>
      <c r="ITC393" s="66"/>
      <c r="ITD393" s="66"/>
      <c r="ITE393" s="66"/>
      <c r="ITF393" s="66"/>
      <c r="ITG393" s="66"/>
      <c r="ITH393" s="66"/>
      <c r="ITI393" s="66"/>
      <c r="ITJ393" s="66"/>
      <c r="ITK393" s="66"/>
      <c r="ITL393" s="66"/>
      <c r="ITM393" s="66"/>
      <c r="ITN393" s="66"/>
      <c r="ITO393" s="66"/>
      <c r="ITP393" s="66"/>
      <c r="ITQ393" s="66"/>
      <c r="ITR393" s="66"/>
      <c r="ITS393" s="66"/>
      <c r="ITT393" s="66"/>
      <c r="ITU393" s="66"/>
      <c r="ITV393" s="66"/>
      <c r="ITW393" s="66"/>
      <c r="ITX393" s="66"/>
      <c r="ITY393" s="66"/>
      <c r="ITZ393" s="66"/>
      <c r="IUA393" s="66"/>
      <c r="IUB393" s="66"/>
      <c r="IUC393" s="66"/>
      <c r="IUD393" s="66"/>
      <c r="IUE393" s="66"/>
      <c r="IUF393" s="66"/>
      <c r="IUG393" s="66"/>
      <c r="IUH393" s="66"/>
      <c r="IUI393" s="66"/>
      <c r="IUJ393" s="66"/>
      <c r="IUK393" s="66"/>
      <c r="IUL393" s="66"/>
      <c r="IUM393" s="66"/>
      <c r="IUN393" s="66"/>
      <c r="IUO393" s="66"/>
      <c r="IUP393" s="66"/>
      <c r="IUQ393" s="66"/>
      <c r="IUR393" s="66"/>
      <c r="IUS393" s="66"/>
      <c r="IUT393" s="66"/>
      <c r="IUU393" s="66"/>
      <c r="IUV393" s="66"/>
      <c r="IUW393" s="66"/>
      <c r="IUX393" s="66"/>
      <c r="IUY393" s="66"/>
      <c r="IUZ393" s="66"/>
      <c r="IVA393" s="66"/>
      <c r="IVB393" s="66"/>
      <c r="IVC393" s="66"/>
      <c r="IVD393" s="66"/>
      <c r="IVE393" s="66"/>
      <c r="IVF393" s="66"/>
      <c r="IVG393" s="66"/>
      <c r="IVH393" s="66"/>
      <c r="IVI393" s="66"/>
      <c r="IVJ393" s="66"/>
      <c r="IVK393" s="66"/>
      <c r="IVL393" s="66"/>
      <c r="IVM393" s="66"/>
      <c r="IVN393" s="66"/>
      <c r="IVO393" s="66"/>
      <c r="IVP393" s="66"/>
      <c r="IVQ393" s="66"/>
      <c r="IVR393" s="66"/>
      <c r="IVS393" s="66"/>
      <c r="IVT393" s="66"/>
      <c r="IVU393" s="66"/>
      <c r="IVV393" s="66"/>
      <c r="IVW393" s="66"/>
      <c r="IVX393" s="66"/>
      <c r="IVY393" s="66"/>
      <c r="IVZ393" s="66"/>
      <c r="IWA393" s="66"/>
      <c r="IWB393" s="66"/>
      <c r="IWC393" s="66"/>
      <c r="IWD393" s="66"/>
      <c r="IWE393" s="66"/>
      <c r="IWF393" s="66"/>
      <c r="IWG393" s="66"/>
      <c r="IWH393" s="66"/>
      <c r="IWI393" s="66"/>
      <c r="IWJ393" s="66"/>
      <c r="IWK393" s="66"/>
      <c r="IWL393" s="66"/>
      <c r="IWM393" s="66"/>
      <c r="IWN393" s="66"/>
      <c r="IWO393" s="66"/>
      <c r="IWP393" s="66"/>
      <c r="IWQ393" s="66"/>
      <c r="IWR393" s="66"/>
      <c r="IWS393" s="66"/>
      <c r="IWT393" s="66"/>
      <c r="IWU393" s="66"/>
      <c r="IWV393" s="66"/>
      <c r="IWW393" s="66"/>
      <c r="IWX393" s="66"/>
      <c r="IWY393" s="66"/>
      <c r="IWZ393" s="66"/>
      <c r="IXA393" s="66"/>
      <c r="IXB393" s="66"/>
      <c r="IXC393" s="66"/>
      <c r="IXD393" s="66"/>
      <c r="IXE393" s="66"/>
      <c r="IXF393" s="66"/>
      <c r="IXG393" s="66"/>
      <c r="IXH393" s="66"/>
      <c r="IXI393" s="66"/>
      <c r="IXJ393" s="66"/>
      <c r="IXK393" s="66"/>
      <c r="IXL393" s="66"/>
      <c r="IXM393" s="66"/>
      <c r="IXN393" s="66"/>
      <c r="IXO393" s="66"/>
      <c r="IXP393" s="66"/>
      <c r="IXQ393" s="66"/>
      <c r="IXR393" s="66"/>
      <c r="IXS393" s="66"/>
      <c r="IXT393" s="66"/>
      <c r="IXU393" s="66"/>
      <c r="IXV393" s="66"/>
      <c r="IXW393" s="66"/>
      <c r="IXX393" s="66"/>
      <c r="IXY393" s="66"/>
      <c r="IXZ393" s="66"/>
      <c r="IYA393" s="66"/>
      <c r="IYB393" s="66"/>
      <c r="IYC393" s="66"/>
      <c r="IYD393" s="66"/>
      <c r="IYE393" s="66"/>
      <c r="IYF393" s="66"/>
      <c r="IYG393" s="66"/>
      <c r="IYH393" s="66"/>
      <c r="IYI393" s="66"/>
      <c r="IYJ393" s="66"/>
      <c r="IYK393" s="66"/>
      <c r="IYL393" s="66"/>
      <c r="IYM393" s="66"/>
      <c r="IYN393" s="66"/>
      <c r="IYO393" s="66"/>
      <c r="IYP393" s="66"/>
      <c r="IYQ393" s="66"/>
      <c r="IYR393" s="66"/>
      <c r="IYS393" s="66"/>
      <c r="IYT393" s="66"/>
      <c r="IYU393" s="66"/>
      <c r="IYV393" s="66"/>
      <c r="IYW393" s="66"/>
      <c r="IYX393" s="66"/>
      <c r="IYY393" s="66"/>
      <c r="IYZ393" s="66"/>
      <c r="IZA393" s="66"/>
      <c r="IZB393" s="66"/>
      <c r="IZC393" s="66"/>
      <c r="IZD393" s="66"/>
      <c r="IZE393" s="66"/>
      <c r="IZF393" s="66"/>
      <c r="IZG393" s="66"/>
      <c r="IZH393" s="66"/>
      <c r="IZI393" s="66"/>
      <c r="IZJ393" s="66"/>
      <c r="IZK393" s="66"/>
      <c r="IZL393" s="66"/>
      <c r="IZM393" s="66"/>
      <c r="IZN393" s="66"/>
      <c r="IZO393" s="66"/>
      <c r="IZP393" s="66"/>
      <c r="IZQ393" s="66"/>
      <c r="IZR393" s="66"/>
      <c r="IZS393" s="66"/>
      <c r="IZT393" s="66"/>
      <c r="IZU393" s="66"/>
      <c r="IZV393" s="66"/>
      <c r="IZW393" s="66"/>
      <c r="IZX393" s="66"/>
      <c r="IZY393" s="66"/>
      <c r="IZZ393" s="66"/>
      <c r="JAA393" s="66"/>
      <c r="JAB393" s="66"/>
      <c r="JAC393" s="66"/>
      <c r="JAD393" s="66"/>
      <c r="JAE393" s="66"/>
      <c r="JAF393" s="66"/>
      <c r="JAG393" s="66"/>
      <c r="JAH393" s="66"/>
      <c r="JAI393" s="66"/>
      <c r="JAJ393" s="66"/>
      <c r="JAK393" s="66"/>
      <c r="JAL393" s="66"/>
      <c r="JAM393" s="66"/>
      <c r="JAN393" s="66"/>
      <c r="JAO393" s="66"/>
      <c r="JAP393" s="66"/>
      <c r="JAQ393" s="66"/>
      <c r="JAR393" s="66"/>
      <c r="JAS393" s="66"/>
      <c r="JAT393" s="66"/>
      <c r="JAU393" s="66"/>
      <c r="JAV393" s="66"/>
      <c r="JAW393" s="66"/>
      <c r="JAX393" s="66"/>
      <c r="JAY393" s="66"/>
      <c r="JAZ393" s="66"/>
      <c r="JBA393" s="66"/>
      <c r="JBB393" s="66"/>
      <c r="JBC393" s="66"/>
      <c r="JBD393" s="66"/>
      <c r="JBE393" s="66"/>
      <c r="JBF393" s="66"/>
      <c r="JBG393" s="66"/>
      <c r="JBH393" s="66"/>
      <c r="JBI393" s="66"/>
      <c r="JBJ393" s="66"/>
      <c r="JBK393" s="66"/>
      <c r="JBL393" s="66"/>
      <c r="JBM393" s="66"/>
      <c r="JBN393" s="66"/>
      <c r="JBO393" s="66"/>
      <c r="JBP393" s="66"/>
      <c r="JBQ393" s="66"/>
      <c r="JBR393" s="66"/>
      <c r="JBS393" s="66"/>
      <c r="JBT393" s="66"/>
      <c r="JBU393" s="66"/>
      <c r="JBV393" s="66"/>
      <c r="JBW393" s="66"/>
      <c r="JBX393" s="66"/>
      <c r="JBY393" s="66"/>
      <c r="JBZ393" s="66"/>
      <c r="JCA393" s="66"/>
      <c r="JCB393" s="66"/>
      <c r="JCC393" s="66"/>
      <c r="JCD393" s="66"/>
      <c r="JCE393" s="66"/>
      <c r="JCF393" s="66"/>
      <c r="JCG393" s="66"/>
      <c r="JCH393" s="66"/>
      <c r="JCI393" s="66"/>
      <c r="JCJ393" s="66"/>
      <c r="JCK393" s="66"/>
      <c r="JCL393" s="66"/>
      <c r="JCM393" s="66"/>
      <c r="JCN393" s="66"/>
      <c r="JCO393" s="66"/>
      <c r="JCP393" s="66"/>
      <c r="JCQ393" s="66"/>
      <c r="JCR393" s="66"/>
      <c r="JCS393" s="66"/>
      <c r="JCT393" s="66"/>
      <c r="JCU393" s="66"/>
      <c r="JCV393" s="66"/>
      <c r="JCW393" s="66"/>
      <c r="JCX393" s="66"/>
      <c r="JCY393" s="66"/>
      <c r="JCZ393" s="66"/>
      <c r="JDA393" s="66"/>
      <c r="JDB393" s="66"/>
      <c r="JDC393" s="66"/>
      <c r="JDD393" s="66"/>
      <c r="JDE393" s="66"/>
      <c r="JDF393" s="66"/>
      <c r="JDG393" s="66"/>
      <c r="JDH393" s="66"/>
      <c r="JDI393" s="66"/>
      <c r="JDJ393" s="66"/>
      <c r="JDK393" s="66"/>
      <c r="JDL393" s="66"/>
      <c r="JDM393" s="66"/>
      <c r="JDN393" s="66"/>
      <c r="JDO393" s="66"/>
      <c r="JDP393" s="66"/>
      <c r="JDQ393" s="66"/>
      <c r="JDR393" s="66"/>
      <c r="JDS393" s="66"/>
      <c r="JDT393" s="66"/>
      <c r="JDU393" s="66"/>
      <c r="JDV393" s="66"/>
      <c r="JDW393" s="66"/>
      <c r="JDX393" s="66"/>
      <c r="JDY393" s="66"/>
      <c r="JDZ393" s="66"/>
      <c r="JEA393" s="66"/>
      <c r="JEB393" s="66"/>
      <c r="JEC393" s="66"/>
      <c r="JED393" s="66"/>
      <c r="JEE393" s="66"/>
      <c r="JEF393" s="66"/>
      <c r="JEG393" s="66"/>
      <c r="JEH393" s="66"/>
      <c r="JEI393" s="66"/>
      <c r="JEJ393" s="66"/>
      <c r="JEK393" s="66"/>
      <c r="JEL393" s="66"/>
      <c r="JEM393" s="66"/>
      <c r="JEN393" s="66"/>
      <c r="JEO393" s="66"/>
      <c r="JEP393" s="66"/>
      <c r="JEQ393" s="66"/>
      <c r="JER393" s="66"/>
      <c r="JES393" s="66"/>
      <c r="JET393" s="66"/>
      <c r="JEU393" s="66"/>
      <c r="JEV393" s="66"/>
      <c r="JEW393" s="66"/>
      <c r="JEX393" s="66"/>
      <c r="JEY393" s="66"/>
      <c r="JEZ393" s="66"/>
      <c r="JFA393" s="66"/>
      <c r="JFB393" s="66"/>
      <c r="JFC393" s="66"/>
      <c r="JFD393" s="66"/>
      <c r="JFE393" s="66"/>
      <c r="JFF393" s="66"/>
      <c r="JFG393" s="66"/>
      <c r="JFH393" s="66"/>
      <c r="JFI393" s="66"/>
      <c r="JFJ393" s="66"/>
      <c r="JFK393" s="66"/>
      <c r="JFL393" s="66"/>
      <c r="JFM393" s="66"/>
      <c r="JFN393" s="66"/>
      <c r="JFO393" s="66"/>
      <c r="JFP393" s="66"/>
      <c r="JFQ393" s="66"/>
      <c r="JFR393" s="66"/>
      <c r="JFS393" s="66"/>
      <c r="JFT393" s="66"/>
      <c r="JFU393" s="66"/>
      <c r="JFV393" s="66"/>
      <c r="JFW393" s="66"/>
      <c r="JFX393" s="66"/>
      <c r="JFY393" s="66"/>
      <c r="JFZ393" s="66"/>
      <c r="JGA393" s="66"/>
      <c r="JGB393" s="66"/>
      <c r="JGC393" s="66"/>
      <c r="JGD393" s="66"/>
      <c r="JGE393" s="66"/>
      <c r="JGF393" s="66"/>
      <c r="JGG393" s="66"/>
      <c r="JGH393" s="66"/>
      <c r="JGI393" s="66"/>
      <c r="JGJ393" s="66"/>
      <c r="JGK393" s="66"/>
      <c r="JGL393" s="66"/>
      <c r="JGM393" s="66"/>
      <c r="JGN393" s="66"/>
      <c r="JGO393" s="66"/>
      <c r="JGP393" s="66"/>
      <c r="JGQ393" s="66"/>
      <c r="JGR393" s="66"/>
      <c r="JGS393" s="66"/>
      <c r="JGT393" s="66"/>
      <c r="JGU393" s="66"/>
      <c r="JGV393" s="66"/>
      <c r="JGW393" s="66"/>
      <c r="JGX393" s="66"/>
      <c r="JGY393" s="66"/>
      <c r="JGZ393" s="66"/>
      <c r="JHA393" s="66"/>
      <c r="JHB393" s="66"/>
      <c r="JHC393" s="66"/>
      <c r="JHD393" s="66"/>
      <c r="JHE393" s="66"/>
      <c r="JHF393" s="66"/>
      <c r="JHG393" s="66"/>
      <c r="JHH393" s="66"/>
      <c r="JHI393" s="66"/>
      <c r="JHJ393" s="66"/>
      <c r="JHK393" s="66"/>
      <c r="JHL393" s="66"/>
      <c r="JHM393" s="66"/>
      <c r="JHN393" s="66"/>
      <c r="JHO393" s="66"/>
      <c r="JHP393" s="66"/>
      <c r="JHQ393" s="66"/>
      <c r="JHR393" s="66"/>
      <c r="JHS393" s="66"/>
      <c r="JHT393" s="66"/>
      <c r="JHU393" s="66"/>
      <c r="JHV393" s="66"/>
      <c r="JHW393" s="66"/>
      <c r="JHX393" s="66"/>
      <c r="JHY393" s="66"/>
      <c r="JHZ393" s="66"/>
      <c r="JIA393" s="66"/>
      <c r="JIB393" s="66"/>
      <c r="JIC393" s="66"/>
      <c r="JID393" s="66"/>
      <c r="JIE393" s="66"/>
      <c r="JIF393" s="66"/>
      <c r="JIG393" s="66"/>
      <c r="JIH393" s="66"/>
      <c r="JII393" s="66"/>
      <c r="JIJ393" s="66"/>
      <c r="JIK393" s="66"/>
      <c r="JIL393" s="66"/>
      <c r="JIM393" s="66"/>
      <c r="JIN393" s="66"/>
      <c r="JIO393" s="66"/>
      <c r="JIP393" s="66"/>
      <c r="JIQ393" s="66"/>
      <c r="JIR393" s="66"/>
      <c r="JIS393" s="66"/>
      <c r="JIT393" s="66"/>
      <c r="JIU393" s="66"/>
      <c r="JIV393" s="66"/>
      <c r="JIW393" s="66"/>
      <c r="JIX393" s="66"/>
      <c r="JIY393" s="66"/>
      <c r="JIZ393" s="66"/>
      <c r="JJA393" s="66"/>
      <c r="JJB393" s="66"/>
      <c r="JJC393" s="66"/>
      <c r="JJD393" s="66"/>
      <c r="JJE393" s="66"/>
      <c r="JJF393" s="66"/>
      <c r="JJG393" s="66"/>
      <c r="JJH393" s="66"/>
      <c r="JJI393" s="66"/>
      <c r="JJJ393" s="66"/>
      <c r="JJK393" s="66"/>
      <c r="JJL393" s="66"/>
      <c r="JJM393" s="66"/>
      <c r="JJN393" s="66"/>
      <c r="JJO393" s="66"/>
      <c r="JJP393" s="66"/>
      <c r="JJQ393" s="66"/>
      <c r="JJR393" s="66"/>
      <c r="JJS393" s="66"/>
      <c r="JJT393" s="66"/>
      <c r="JJU393" s="66"/>
      <c r="JJV393" s="66"/>
      <c r="JJW393" s="66"/>
      <c r="JJX393" s="66"/>
      <c r="JJY393" s="66"/>
      <c r="JJZ393" s="66"/>
      <c r="JKA393" s="66"/>
      <c r="JKB393" s="66"/>
      <c r="JKC393" s="66"/>
      <c r="JKD393" s="66"/>
      <c r="JKE393" s="66"/>
      <c r="JKF393" s="66"/>
      <c r="JKG393" s="66"/>
      <c r="JKH393" s="66"/>
      <c r="JKI393" s="66"/>
      <c r="JKJ393" s="66"/>
      <c r="JKK393" s="66"/>
      <c r="JKL393" s="66"/>
      <c r="JKM393" s="66"/>
      <c r="JKN393" s="66"/>
      <c r="JKO393" s="66"/>
      <c r="JKP393" s="66"/>
      <c r="JKQ393" s="66"/>
      <c r="JKR393" s="66"/>
      <c r="JKS393" s="66"/>
      <c r="JKT393" s="66"/>
      <c r="JKU393" s="66"/>
      <c r="JKV393" s="66"/>
      <c r="JKW393" s="66"/>
      <c r="JKX393" s="66"/>
      <c r="JKY393" s="66"/>
      <c r="JKZ393" s="66"/>
      <c r="JLA393" s="66"/>
      <c r="JLB393" s="66"/>
      <c r="JLC393" s="66"/>
      <c r="JLD393" s="66"/>
      <c r="JLE393" s="66"/>
      <c r="JLF393" s="66"/>
      <c r="JLG393" s="66"/>
      <c r="JLH393" s="66"/>
      <c r="JLI393" s="66"/>
      <c r="JLJ393" s="66"/>
      <c r="JLK393" s="66"/>
      <c r="JLL393" s="66"/>
      <c r="JLM393" s="66"/>
      <c r="JLN393" s="66"/>
      <c r="JLO393" s="66"/>
      <c r="JLP393" s="66"/>
      <c r="JLQ393" s="66"/>
      <c r="JLR393" s="66"/>
      <c r="JLS393" s="66"/>
      <c r="JLT393" s="66"/>
      <c r="JLU393" s="66"/>
      <c r="JLV393" s="66"/>
      <c r="JLW393" s="66"/>
      <c r="JLX393" s="66"/>
      <c r="JLY393" s="66"/>
      <c r="JLZ393" s="66"/>
      <c r="JMA393" s="66"/>
      <c r="JMB393" s="66"/>
      <c r="JMC393" s="66"/>
      <c r="JMD393" s="66"/>
      <c r="JME393" s="66"/>
      <c r="JMF393" s="66"/>
      <c r="JMG393" s="66"/>
      <c r="JMH393" s="66"/>
      <c r="JMI393" s="66"/>
      <c r="JMJ393" s="66"/>
      <c r="JMK393" s="66"/>
      <c r="JML393" s="66"/>
      <c r="JMM393" s="66"/>
      <c r="JMN393" s="66"/>
      <c r="JMO393" s="66"/>
      <c r="JMP393" s="66"/>
      <c r="JMQ393" s="66"/>
      <c r="JMR393" s="66"/>
      <c r="JMS393" s="66"/>
      <c r="JMT393" s="66"/>
      <c r="JMU393" s="66"/>
      <c r="JMV393" s="66"/>
      <c r="JMW393" s="66"/>
      <c r="JMX393" s="66"/>
      <c r="JMY393" s="66"/>
      <c r="JMZ393" s="66"/>
      <c r="JNA393" s="66"/>
      <c r="JNB393" s="66"/>
      <c r="JNC393" s="66"/>
      <c r="JND393" s="66"/>
      <c r="JNE393" s="66"/>
      <c r="JNF393" s="66"/>
      <c r="JNG393" s="66"/>
      <c r="JNH393" s="66"/>
      <c r="JNI393" s="66"/>
      <c r="JNJ393" s="66"/>
      <c r="JNK393" s="66"/>
      <c r="JNL393" s="66"/>
      <c r="JNM393" s="66"/>
      <c r="JNN393" s="66"/>
      <c r="JNO393" s="66"/>
      <c r="JNP393" s="66"/>
      <c r="JNQ393" s="66"/>
      <c r="JNR393" s="66"/>
      <c r="JNS393" s="66"/>
      <c r="JNT393" s="66"/>
      <c r="JNU393" s="66"/>
      <c r="JNV393" s="66"/>
      <c r="JNW393" s="66"/>
      <c r="JNX393" s="66"/>
      <c r="JNY393" s="66"/>
      <c r="JNZ393" s="66"/>
      <c r="JOA393" s="66"/>
      <c r="JOB393" s="66"/>
      <c r="JOC393" s="66"/>
      <c r="JOD393" s="66"/>
      <c r="JOE393" s="66"/>
      <c r="JOF393" s="66"/>
      <c r="JOG393" s="66"/>
      <c r="JOH393" s="66"/>
      <c r="JOI393" s="66"/>
      <c r="JOJ393" s="66"/>
      <c r="JOK393" s="66"/>
      <c r="JOL393" s="66"/>
      <c r="JOM393" s="66"/>
      <c r="JON393" s="66"/>
      <c r="JOO393" s="66"/>
      <c r="JOP393" s="66"/>
      <c r="JOQ393" s="66"/>
      <c r="JOR393" s="66"/>
      <c r="JOS393" s="66"/>
      <c r="JOT393" s="66"/>
      <c r="JOU393" s="66"/>
      <c r="JOV393" s="66"/>
      <c r="JOW393" s="66"/>
      <c r="JOX393" s="66"/>
      <c r="JOY393" s="66"/>
      <c r="JOZ393" s="66"/>
      <c r="JPA393" s="66"/>
      <c r="JPB393" s="66"/>
      <c r="JPC393" s="66"/>
      <c r="JPD393" s="66"/>
      <c r="JPE393" s="66"/>
      <c r="JPF393" s="66"/>
      <c r="JPG393" s="66"/>
      <c r="JPH393" s="66"/>
      <c r="JPI393" s="66"/>
      <c r="JPJ393" s="66"/>
      <c r="JPK393" s="66"/>
      <c r="JPL393" s="66"/>
      <c r="JPM393" s="66"/>
      <c r="JPN393" s="66"/>
      <c r="JPO393" s="66"/>
      <c r="JPP393" s="66"/>
      <c r="JPQ393" s="66"/>
      <c r="JPR393" s="66"/>
      <c r="JPS393" s="66"/>
      <c r="JPT393" s="66"/>
      <c r="JPU393" s="66"/>
      <c r="JPV393" s="66"/>
      <c r="JPW393" s="66"/>
      <c r="JPX393" s="66"/>
      <c r="JPY393" s="66"/>
      <c r="JPZ393" s="66"/>
      <c r="JQA393" s="66"/>
      <c r="JQB393" s="66"/>
      <c r="JQC393" s="66"/>
      <c r="JQD393" s="66"/>
      <c r="JQE393" s="66"/>
      <c r="JQF393" s="66"/>
      <c r="JQG393" s="66"/>
      <c r="JQH393" s="66"/>
      <c r="JQI393" s="66"/>
      <c r="JQJ393" s="66"/>
      <c r="JQK393" s="66"/>
      <c r="JQL393" s="66"/>
      <c r="JQM393" s="66"/>
      <c r="JQN393" s="66"/>
      <c r="JQO393" s="66"/>
      <c r="JQP393" s="66"/>
      <c r="JQQ393" s="66"/>
      <c r="JQR393" s="66"/>
      <c r="JQS393" s="66"/>
      <c r="JQT393" s="66"/>
      <c r="JQU393" s="66"/>
      <c r="JQV393" s="66"/>
      <c r="JQW393" s="66"/>
      <c r="JQX393" s="66"/>
      <c r="JQY393" s="66"/>
      <c r="JQZ393" s="66"/>
      <c r="JRA393" s="66"/>
      <c r="JRB393" s="66"/>
      <c r="JRC393" s="66"/>
      <c r="JRD393" s="66"/>
      <c r="JRE393" s="66"/>
      <c r="JRF393" s="66"/>
      <c r="JRG393" s="66"/>
      <c r="JRH393" s="66"/>
      <c r="JRI393" s="66"/>
      <c r="JRJ393" s="66"/>
      <c r="JRK393" s="66"/>
      <c r="JRL393" s="66"/>
      <c r="JRM393" s="66"/>
      <c r="JRN393" s="66"/>
      <c r="JRO393" s="66"/>
      <c r="JRP393" s="66"/>
      <c r="JRQ393" s="66"/>
      <c r="JRR393" s="66"/>
      <c r="JRS393" s="66"/>
      <c r="JRT393" s="66"/>
      <c r="JRU393" s="66"/>
      <c r="JRV393" s="66"/>
      <c r="JRW393" s="66"/>
      <c r="JRX393" s="66"/>
      <c r="JRY393" s="66"/>
      <c r="JRZ393" s="66"/>
      <c r="JSA393" s="66"/>
      <c r="JSB393" s="66"/>
      <c r="JSC393" s="66"/>
      <c r="JSD393" s="66"/>
      <c r="JSE393" s="66"/>
      <c r="JSF393" s="66"/>
      <c r="JSG393" s="66"/>
      <c r="JSH393" s="66"/>
      <c r="JSI393" s="66"/>
      <c r="JSJ393" s="66"/>
      <c r="JSK393" s="66"/>
      <c r="JSL393" s="66"/>
      <c r="JSM393" s="66"/>
      <c r="JSN393" s="66"/>
      <c r="JSO393" s="66"/>
      <c r="JSP393" s="66"/>
      <c r="JSQ393" s="66"/>
      <c r="JSR393" s="66"/>
      <c r="JSS393" s="66"/>
      <c r="JST393" s="66"/>
      <c r="JSU393" s="66"/>
      <c r="JSV393" s="66"/>
      <c r="JSW393" s="66"/>
      <c r="JSX393" s="66"/>
      <c r="JSY393" s="66"/>
      <c r="JSZ393" s="66"/>
      <c r="JTA393" s="66"/>
      <c r="JTB393" s="66"/>
      <c r="JTC393" s="66"/>
      <c r="JTD393" s="66"/>
      <c r="JTE393" s="66"/>
      <c r="JTF393" s="66"/>
      <c r="JTG393" s="66"/>
      <c r="JTH393" s="66"/>
      <c r="JTI393" s="66"/>
      <c r="JTJ393" s="66"/>
      <c r="JTK393" s="66"/>
      <c r="JTL393" s="66"/>
      <c r="JTM393" s="66"/>
      <c r="JTN393" s="66"/>
      <c r="JTO393" s="66"/>
      <c r="JTP393" s="66"/>
      <c r="JTQ393" s="66"/>
      <c r="JTR393" s="66"/>
      <c r="JTS393" s="66"/>
      <c r="JTT393" s="66"/>
      <c r="JTU393" s="66"/>
      <c r="JTV393" s="66"/>
      <c r="JTW393" s="66"/>
      <c r="JTX393" s="66"/>
      <c r="JTY393" s="66"/>
      <c r="JTZ393" s="66"/>
      <c r="JUA393" s="66"/>
      <c r="JUB393" s="66"/>
      <c r="JUC393" s="66"/>
      <c r="JUD393" s="66"/>
      <c r="JUE393" s="66"/>
      <c r="JUF393" s="66"/>
      <c r="JUG393" s="66"/>
      <c r="JUH393" s="66"/>
      <c r="JUI393" s="66"/>
      <c r="JUJ393" s="66"/>
      <c r="JUK393" s="66"/>
      <c r="JUL393" s="66"/>
      <c r="JUM393" s="66"/>
      <c r="JUN393" s="66"/>
      <c r="JUO393" s="66"/>
      <c r="JUP393" s="66"/>
      <c r="JUQ393" s="66"/>
      <c r="JUR393" s="66"/>
      <c r="JUS393" s="66"/>
      <c r="JUT393" s="66"/>
      <c r="JUU393" s="66"/>
      <c r="JUV393" s="66"/>
      <c r="JUW393" s="66"/>
      <c r="JUX393" s="66"/>
      <c r="JUY393" s="66"/>
      <c r="JUZ393" s="66"/>
      <c r="JVA393" s="66"/>
      <c r="JVB393" s="66"/>
      <c r="JVC393" s="66"/>
      <c r="JVD393" s="66"/>
      <c r="JVE393" s="66"/>
      <c r="JVF393" s="66"/>
      <c r="JVG393" s="66"/>
      <c r="JVH393" s="66"/>
      <c r="JVI393" s="66"/>
      <c r="JVJ393" s="66"/>
      <c r="JVK393" s="66"/>
      <c r="JVL393" s="66"/>
      <c r="JVM393" s="66"/>
      <c r="JVN393" s="66"/>
      <c r="JVO393" s="66"/>
      <c r="JVP393" s="66"/>
      <c r="JVQ393" s="66"/>
      <c r="JVR393" s="66"/>
      <c r="JVS393" s="66"/>
      <c r="JVT393" s="66"/>
      <c r="JVU393" s="66"/>
      <c r="JVV393" s="66"/>
      <c r="JVW393" s="66"/>
      <c r="JVX393" s="66"/>
      <c r="JVY393" s="66"/>
      <c r="JVZ393" s="66"/>
      <c r="JWA393" s="66"/>
      <c r="JWB393" s="66"/>
      <c r="JWC393" s="66"/>
      <c r="JWD393" s="66"/>
      <c r="JWE393" s="66"/>
      <c r="JWF393" s="66"/>
      <c r="JWG393" s="66"/>
      <c r="JWH393" s="66"/>
      <c r="JWI393" s="66"/>
      <c r="JWJ393" s="66"/>
      <c r="JWK393" s="66"/>
      <c r="JWL393" s="66"/>
      <c r="JWM393" s="66"/>
      <c r="JWN393" s="66"/>
      <c r="JWO393" s="66"/>
      <c r="JWP393" s="66"/>
      <c r="JWQ393" s="66"/>
      <c r="JWR393" s="66"/>
      <c r="JWS393" s="66"/>
      <c r="JWT393" s="66"/>
      <c r="JWU393" s="66"/>
      <c r="JWV393" s="66"/>
      <c r="JWW393" s="66"/>
      <c r="JWX393" s="66"/>
      <c r="JWY393" s="66"/>
      <c r="JWZ393" s="66"/>
      <c r="JXA393" s="66"/>
      <c r="JXB393" s="66"/>
      <c r="JXC393" s="66"/>
      <c r="JXD393" s="66"/>
      <c r="JXE393" s="66"/>
      <c r="JXF393" s="66"/>
      <c r="JXG393" s="66"/>
      <c r="JXH393" s="66"/>
      <c r="JXI393" s="66"/>
      <c r="JXJ393" s="66"/>
      <c r="JXK393" s="66"/>
      <c r="JXL393" s="66"/>
      <c r="JXM393" s="66"/>
      <c r="JXN393" s="66"/>
      <c r="JXO393" s="66"/>
      <c r="JXP393" s="66"/>
      <c r="JXQ393" s="66"/>
      <c r="JXR393" s="66"/>
      <c r="JXS393" s="66"/>
      <c r="JXT393" s="66"/>
      <c r="JXU393" s="66"/>
      <c r="JXV393" s="66"/>
      <c r="JXW393" s="66"/>
      <c r="JXX393" s="66"/>
      <c r="JXY393" s="66"/>
      <c r="JXZ393" s="66"/>
      <c r="JYA393" s="66"/>
      <c r="JYB393" s="66"/>
      <c r="JYC393" s="66"/>
      <c r="JYD393" s="66"/>
      <c r="JYE393" s="66"/>
      <c r="JYF393" s="66"/>
      <c r="JYG393" s="66"/>
      <c r="JYH393" s="66"/>
      <c r="JYI393" s="66"/>
      <c r="JYJ393" s="66"/>
      <c r="JYK393" s="66"/>
      <c r="JYL393" s="66"/>
      <c r="JYM393" s="66"/>
      <c r="JYN393" s="66"/>
      <c r="JYO393" s="66"/>
      <c r="JYP393" s="66"/>
      <c r="JYQ393" s="66"/>
      <c r="JYR393" s="66"/>
      <c r="JYS393" s="66"/>
      <c r="JYT393" s="66"/>
      <c r="JYU393" s="66"/>
      <c r="JYV393" s="66"/>
      <c r="JYW393" s="66"/>
      <c r="JYX393" s="66"/>
      <c r="JYY393" s="66"/>
      <c r="JYZ393" s="66"/>
      <c r="JZA393" s="66"/>
      <c r="JZB393" s="66"/>
      <c r="JZC393" s="66"/>
      <c r="JZD393" s="66"/>
      <c r="JZE393" s="66"/>
      <c r="JZF393" s="66"/>
      <c r="JZG393" s="66"/>
      <c r="JZH393" s="66"/>
      <c r="JZI393" s="66"/>
      <c r="JZJ393" s="66"/>
      <c r="JZK393" s="66"/>
      <c r="JZL393" s="66"/>
      <c r="JZM393" s="66"/>
      <c r="JZN393" s="66"/>
      <c r="JZO393" s="66"/>
      <c r="JZP393" s="66"/>
      <c r="JZQ393" s="66"/>
      <c r="JZR393" s="66"/>
      <c r="JZS393" s="66"/>
      <c r="JZT393" s="66"/>
      <c r="JZU393" s="66"/>
      <c r="JZV393" s="66"/>
      <c r="JZW393" s="66"/>
      <c r="JZX393" s="66"/>
      <c r="JZY393" s="66"/>
      <c r="JZZ393" s="66"/>
      <c r="KAA393" s="66"/>
      <c r="KAB393" s="66"/>
      <c r="KAC393" s="66"/>
      <c r="KAD393" s="66"/>
      <c r="KAE393" s="66"/>
      <c r="KAF393" s="66"/>
      <c r="KAG393" s="66"/>
      <c r="KAH393" s="66"/>
      <c r="KAI393" s="66"/>
      <c r="KAJ393" s="66"/>
      <c r="KAK393" s="66"/>
      <c r="KAL393" s="66"/>
      <c r="KAM393" s="66"/>
      <c r="KAN393" s="66"/>
      <c r="KAO393" s="66"/>
      <c r="KAP393" s="66"/>
      <c r="KAQ393" s="66"/>
      <c r="KAR393" s="66"/>
      <c r="KAS393" s="66"/>
      <c r="KAT393" s="66"/>
      <c r="KAU393" s="66"/>
      <c r="KAV393" s="66"/>
      <c r="KAW393" s="66"/>
      <c r="KAX393" s="66"/>
      <c r="KAY393" s="66"/>
      <c r="KAZ393" s="66"/>
      <c r="KBA393" s="66"/>
      <c r="KBB393" s="66"/>
      <c r="KBC393" s="66"/>
      <c r="KBD393" s="66"/>
      <c r="KBE393" s="66"/>
      <c r="KBF393" s="66"/>
      <c r="KBG393" s="66"/>
      <c r="KBH393" s="66"/>
      <c r="KBI393" s="66"/>
      <c r="KBJ393" s="66"/>
      <c r="KBK393" s="66"/>
      <c r="KBL393" s="66"/>
      <c r="KBM393" s="66"/>
      <c r="KBN393" s="66"/>
      <c r="KBO393" s="66"/>
      <c r="KBP393" s="66"/>
      <c r="KBQ393" s="66"/>
      <c r="KBR393" s="66"/>
      <c r="KBS393" s="66"/>
      <c r="KBT393" s="66"/>
      <c r="KBU393" s="66"/>
      <c r="KBV393" s="66"/>
      <c r="KBW393" s="66"/>
      <c r="KBX393" s="66"/>
      <c r="KBY393" s="66"/>
      <c r="KBZ393" s="66"/>
      <c r="KCA393" s="66"/>
      <c r="KCB393" s="66"/>
      <c r="KCC393" s="66"/>
      <c r="KCD393" s="66"/>
      <c r="KCE393" s="66"/>
      <c r="KCF393" s="66"/>
      <c r="KCG393" s="66"/>
      <c r="KCH393" s="66"/>
      <c r="KCI393" s="66"/>
      <c r="KCJ393" s="66"/>
      <c r="KCK393" s="66"/>
      <c r="KCL393" s="66"/>
      <c r="KCM393" s="66"/>
      <c r="KCN393" s="66"/>
      <c r="KCO393" s="66"/>
      <c r="KCP393" s="66"/>
      <c r="KCQ393" s="66"/>
      <c r="KCR393" s="66"/>
      <c r="KCS393" s="66"/>
      <c r="KCT393" s="66"/>
      <c r="KCU393" s="66"/>
      <c r="KCV393" s="66"/>
      <c r="KCW393" s="66"/>
      <c r="KCX393" s="66"/>
      <c r="KCY393" s="66"/>
      <c r="KCZ393" s="66"/>
      <c r="KDA393" s="66"/>
      <c r="KDB393" s="66"/>
      <c r="KDC393" s="66"/>
      <c r="KDD393" s="66"/>
      <c r="KDE393" s="66"/>
      <c r="KDF393" s="66"/>
      <c r="KDG393" s="66"/>
      <c r="KDH393" s="66"/>
      <c r="KDI393" s="66"/>
      <c r="KDJ393" s="66"/>
      <c r="KDK393" s="66"/>
      <c r="KDL393" s="66"/>
      <c r="KDM393" s="66"/>
      <c r="KDN393" s="66"/>
      <c r="KDO393" s="66"/>
      <c r="KDP393" s="66"/>
      <c r="KDQ393" s="66"/>
      <c r="KDR393" s="66"/>
      <c r="KDS393" s="66"/>
      <c r="KDT393" s="66"/>
      <c r="KDU393" s="66"/>
      <c r="KDV393" s="66"/>
      <c r="KDW393" s="66"/>
      <c r="KDX393" s="66"/>
      <c r="KDY393" s="66"/>
      <c r="KDZ393" s="66"/>
      <c r="KEA393" s="66"/>
      <c r="KEB393" s="66"/>
      <c r="KEC393" s="66"/>
      <c r="KED393" s="66"/>
      <c r="KEE393" s="66"/>
      <c r="KEF393" s="66"/>
      <c r="KEG393" s="66"/>
      <c r="KEH393" s="66"/>
      <c r="KEI393" s="66"/>
      <c r="KEJ393" s="66"/>
      <c r="KEK393" s="66"/>
      <c r="KEL393" s="66"/>
      <c r="KEM393" s="66"/>
      <c r="KEN393" s="66"/>
      <c r="KEO393" s="66"/>
      <c r="KEP393" s="66"/>
      <c r="KEQ393" s="66"/>
      <c r="KER393" s="66"/>
      <c r="KES393" s="66"/>
      <c r="KET393" s="66"/>
      <c r="KEU393" s="66"/>
      <c r="KEV393" s="66"/>
      <c r="KEW393" s="66"/>
      <c r="KEX393" s="66"/>
      <c r="KEY393" s="66"/>
      <c r="KEZ393" s="66"/>
      <c r="KFA393" s="66"/>
      <c r="KFB393" s="66"/>
      <c r="KFC393" s="66"/>
      <c r="KFD393" s="66"/>
      <c r="KFE393" s="66"/>
      <c r="KFF393" s="66"/>
      <c r="KFG393" s="66"/>
      <c r="KFH393" s="66"/>
      <c r="KFI393" s="66"/>
      <c r="KFJ393" s="66"/>
      <c r="KFK393" s="66"/>
      <c r="KFL393" s="66"/>
      <c r="KFM393" s="66"/>
      <c r="KFN393" s="66"/>
      <c r="KFO393" s="66"/>
      <c r="KFP393" s="66"/>
      <c r="KFQ393" s="66"/>
      <c r="KFR393" s="66"/>
      <c r="KFS393" s="66"/>
      <c r="KFT393" s="66"/>
      <c r="KFU393" s="66"/>
      <c r="KFV393" s="66"/>
      <c r="KFW393" s="66"/>
      <c r="KFX393" s="66"/>
      <c r="KFY393" s="66"/>
      <c r="KFZ393" s="66"/>
      <c r="KGA393" s="66"/>
      <c r="KGB393" s="66"/>
      <c r="KGC393" s="66"/>
      <c r="KGD393" s="66"/>
      <c r="KGE393" s="66"/>
      <c r="KGF393" s="66"/>
      <c r="KGG393" s="66"/>
      <c r="KGH393" s="66"/>
      <c r="KGI393" s="66"/>
      <c r="KGJ393" s="66"/>
      <c r="KGK393" s="66"/>
      <c r="KGL393" s="66"/>
      <c r="KGM393" s="66"/>
      <c r="KGN393" s="66"/>
      <c r="KGO393" s="66"/>
      <c r="KGP393" s="66"/>
      <c r="KGQ393" s="66"/>
      <c r="KGR393" s="66"/>
      <c r="KGS393" s="66"/>
      <c r="KGT393" s="66"/>
      <c r="KGU393" s="66"/>
      <c r="KGV393" s="66"/>
      <c r="KGW393" s="66"/>
      <c r="KGX393" s="66"/>
      <c r="KGY393" s="66"/>
      <c r="KGZ393" s="66"/>
      <c r="KHA393" s="66"/>
      <c r="KHB393" s="66"/>
      <c r="KHC393" s="66"/>
      <c r="KHD393" s="66"/>
      <c r="KHE393" s="66"/>
      <c r="KHF393" s="66"/>
      <c r="KHG393" s="66"/>
      <c r="KHH393" s="66"/>
      <c r="KHI393" s="66"/>
      <c r="KHJ393" s="66"/>
      <c r="KHK393" s="66"/>
      <c r="KHL393" s="66"/>
      <c r="KHM393" s="66"/>
      <c r="KHN393" s="66"/>
      <c r="KHO393" s="66"/>
      <c r="KHP393" s="66"/>
      <c r="KHQ393" s="66"/>
      <c r="KHR393" s="66"/>
      <c r="KHS393" s="66"/>
      <c r="KHT393" s="66"/>
      <c r="KHU393" s="66"/>
      <c r="KHV393" s="66"/>
      <c r="KHW393" s="66"/>
      <c r="KHX393" s="66"/>
      <c r="KHY393" s="66"/>
      <c r="KHZ393" s="66"/>
      <c r="KIA393" s="66"/>
      <c r="KIB393" s="66"/>
      <c r="KIC393" s="66"/>
      <c r="KID393" s="66"/>
      <c r="KIE393" s="66"/>
      <c r="KIF393" s="66"/>
      <c r="KIG393" s="66"/>
      <c r="KIH393" s="66"/>
      <c r="KII393" s="66"/>
      <c r="KIJ393" s="66"/>
      <c r="KIK393" s="66"/>
      <c r="KIL393" s="66"/>
      <c r="KIM393" s="66"/>
      <c r="KIN393" s="66"/>
      <c r="KIO393" s="66"/>
      <c r="KIP393" s="66"/>
      <c r="KIQ393" s="66"/>
      <c r="KIR393" s="66"/>
      <c r="KIS393" s="66"/>
      <c r="KIT393" s="66"/>
      <c r="KIU393" s="66"/>
      <c r="KIV393" s="66"/>
      <c r="KIW393" s="66"/>
      <c r="KIX393" s="66"/>
      <c r="KIY393" s="66"/>
      <c r="KIZ393" s="66"/>
      <c r="KJA393" s="66"/>
      <c r="KJB393" s="66"/>
      <c r="KJC393" s="66"/>
      <c r="KJD393" s="66"/>
      <c r="KJE393" s="66"/>
      <c r="KJF393" s="66"/>
      <c r="KJG393" s="66"/>
      <c r="KJH393" s="66"/>
      <c r="KJI393" s="66"/>
      <c r="KJJ393" s="66"/>
      <c r="KJK393" s="66"/>
      <c r="KJL393" s="66"/>
      <c r="KJM393" s="66"/>
      <c r="KJN393" s="66"/>
      <c r="KJO393" s="66"/>
      <c r="KJP393" s="66"/>
      <c r="KJQ393" s="66"/>
      <c r="KJR393" s="66"/>
      <c r="KJS393" s="66"/>
      <c r="KJT393" s="66"/>
      <c r="KJU393" s="66"/>
      <c r="KJV393" s="66"/>
      <c r="KJW393" s="66"/>
      <c r="KJX393" s="66"/>
      <c r="KJY393" s="66"/>
      <c r="KJZ393" s="66"/>
      <c r="KKA393" s="66"/>
      <c r="KKB393" s="66"/>
      <c r="KKC393" s="66"/>
      <c r="KKD393" s="66"/>
      <c r="KKE393" s="66"/>
      <c r="KKF393" s="66"/>
      <c r="KKG393" s="66"/>
      <c r="KKH393" s="66"/>
      <c r="KKI393" s="66"/>
      <c r="KKJ393" s="66"/>
      <c r="KKK393" s="66"/>
      <c r="KKL393" s="66"/>
      <c r="KKM393" s="66"/>
      <c r="KKN393" s="66"/>
      <c r="KKO393" s="66"/>
      <c r="KKP393" s="66"/>
      <c r="KKQ393" s="66"/>
      <c r="KKR393" s="66"/>
      <c r="KKS393" s="66"/>
      <c r="KKT393" s="66"/>
      <c r="KKU393" s="66"/>
      <c r="KKV393" s="66"/>
      <c r="KKW393" s="66"/>
      <c r="KKX393" s="66"/>
      <c r="KKY393" s="66"/>
      <c r="KKZ393" s="66"/>
      <c r="KLA393" s="66"/>
      <c r="KLB393" s="66"/>
      <c r="KLC393" s="66"/>
      <c r="KLD393" s="66"/>
      <c r="KLE393" s="66"/>
      <c r="KLF393" s="66"/>
      <c r="KLG393" s="66"/>
      <c r="KLH393" s="66"/>
      <c r="KLI393" s="66"/>
      <c r="KLJ393" s="66"/>
      <c r="KLK393" s="66"/>
      <c r="KLL393" s="66"/>
      <c r="KLM393" s="66"/>
      <c r="KLN393" s="66"/>
      <c r="KLO393" s="66"/>
      <c r="KLP393" s="66"/>
      <c r="KLQ393" s="66"/>
      <c r="KLR393" s="66"/>
      <c r="KLS393" s="66"/>
      <c r="KLT393" s="66"/>
      <c r="KLU393" s="66"/>
      <c r="KLV393" s="66"/>
      <c r="KLW393" s="66"/>
      <c r="KLX393" s="66"/>
      <c r="KLY393" s="66"/>
      <c r="KLZ393" s="66"/>
      <c r="KMA393" s="66"/>
      <c r="KMB393" s="66"/>
      <c r="KMC393" s="66"/>
      <c r="KMD393" s="66"/>
      <c r="KME393" s="66"/>
      <c r="KMF393" s="66"/>
      <c r="KMG393" s="66"/>
      <c r="KMH393" s="66"/>
      <c r="KMI393" s="66"/>
      <c r="KMJ393" s="66"/>
      <c r="KMK393" s="66"/>
      <c r="KML393" s="66"/>
      <c r="KMM393" s="66"/>
      <c r="KMN393" s="66"/>
      <c r="KMO393" s="66"/>
      <c r="KMP393" s="66"/>
      <c r="KMQ393" s="66"/>
      <c r="KMR393" s="66"/>
      <c r="KMS393" s="66"/>
      <c r="KMT393" s="66"/>
      <c r="KMU393" s="66"/>
      <c r="KMV393" s="66"/>
      <c r="KMW393" s="66"/>
      <c r="KMX393" s="66"/>
      <c r="KMY393" s="66"/>
      <c r="KMZ393" s="66"/>
      <c r="KNA393" s="66"/>
      <c r="KNB393" s="66"/>
      <c r="KNC393" s="66"/>
      <c r="KND393" s="66"/>
      <c r="KNE393" s="66"/>
      <c r="KNF393" s="66"/>
      <c r="KNG393" s="66"/>
      <c r="KNH393" s="66"/>
      <c r="KNI393" s="66"/>
      <c r="KNJ393" s="66"/>
      <c r="KNK393" s="66"/>
      <c r="KNL393" s="66"/>
      <c r="KNM393" s="66"/>
      <c r="KNN393" s="66"/>
      <c r="KNO393" s="66"/>
      <c r="KNP393" s="66"/>
      <c r="KNQ393" s="66"/>
      <c r="KNR393" s="66"/>
      <c r="KNS393" s="66"/>
      <c r="KNT393" s="66"/>
      <c r="KNU393" s="66"/>
      <c r="KNV393" s="66"/>
      <c r="KNW393" s="66"/>
      <c r="KNX393" s="66"/>
      <c r="KNY393" s="66"/>
      <c r="KNZ393" s="66"/>
      <c r="KOA393" s="66"/>
      <c r="KOB393" s="66"/>
      <c r="KOC393" s="66"/>
      <c r="KOD393" s="66"/>
      <c r="KOE393" s="66"/>
      <c r="KOF393" s="66"/>
      <c r="KOG393" s="66"/>
      <c r="KOH393" s="66"/>
      <c r="KOI393" s="66"/>
      <c r="KOJ393" s="66"/>
      <c r="KOK393" s="66"/>
      <c r="KOL393" s="66"/>
      <c r="KOM393" s="66"/>
      <c r="KON393" s="66"/>
      <c r="KOO393" s="66"/>
      <c r="KOP393" s="66"/>
      <c r="KOQ393" s="66"/>
      <c r="KOR393" s="66"/>
      <c r="KOS393" s="66"/>
      <c r="KOT393" s="66"/>
      <c r="KOU393" s="66"/>
      <c r="KOV393" s="66"/>
      <c r="KOW393" s="66"/>
      <c r="KOX393" s="66"/>
      <c r="KOY393" s="66"/>
      <c r="KOZ393" s="66"/>
      <c r="KPA393" s="66"/>
      <c r="KPB393" s="66"/>
      <c r="KPC393" s="66"/>
      <c r="KPD393" s="66"/>
      <c r="KPE393" s="66"/>
      <c r="KPF393" s="66"/>
      <c r="KPG393" s="66"/>
      <c r="KPH393" s="66"/>
      <c r="KPI393" s="66"/>
      <c r="KPJ393" s="66"/>
      <c r="KPK393" s="66"/>
      <c r="KPL393" s="66"/>
      <c r="KPM393" s="66"/>
      <c r="KPN393" s="66"/>
      <c r="KPO393" s="66"/>
      <c r="KPP393" s="66"/>
      <c r="KPQ393" s="66"/>
      <c r="KPR393" s="66"/>
      <c r="KPS393" s="66"/>
      <c r="KPT393" s="66"/>
      <c r="KPU393" s="66"/>
      <c r="KPV393" s="66"/>
      <c r="KPW393" s="66"/>
      <c r="KPX393" s="66"/>
      <c r="KPY393" s="66"/>
      <c r="KPZ393" s="66"/>
      <c r="KQA393" s="66"/>
      <c r="KQB393" s="66"/>
      <c r="KQC393" s="66"/>
      <c r="KQD393" s="66"/>
      <c r="KQE393" s="66"/>
      <c r="KQF393" s="66"/>
      <c r="KQG393" s="66"/>
      <c r="KQH393" s="66"/>
      <c r="KQI393" s="66"/>
      <c r="KQJ393" s="66"/>
      <c r="KQK393" s="66"/>
      <c r="KQL393" s="66"/>
      <c r="KQM393" s="66"/>
      <c r="KQN393" s="66"/>
      <c r="KQO393" s="66"/>
      <c r="KQP393" s="66"/>
      <c r="KQQ393" s="66"/>
      <c r="KQR393" s="66"/>
      <c r="KQS393" s="66"/>
      <c r="KQT393" s="66"/>
      <c r="KQU393" s="66"/>
      <c r="KQV393" s="66"/>
      <c r="KQW393" s="66"/>
      <c r="KQX393" s="66"/>
      <c r="KQY393" s="66"/>
      <c r="KQZ393" s="66"/>
      <c r="KRA393" s="66"/>
      <c r="KRB393" s="66"/>
      <c r="KRC393" s="66"/>
      <c r="KRD393" s="66"/>
      <c r="KRE393" s="66"/>
      <c r="KRF393" s="66"/>
      <c r="KRG393" s="66"/>
      <c r="KRH393" s="66"/>
      <c r="KRI393" s="66"/>
      <c r="KRJ393" s="66"/>
      <c r="KRK393" s="66"/>
      <c r="KRL393" s="66"/>
      <c r="KRM393" s="66"/>
      <c r="KRN393" s="66"/>
      <c r="KRO393" s="66"/>
      <c r="KRP393" s="66"/>
      <c r="KRQ393" s="66"/>
      <c r="KRR393" s="66"/>
      <c r="KRS393" s="66"/>
      <c r="KRT393" s="66"/>
      <c r="KRU393" s="66"/>
      <c r="KRV393" s="66"/>
      <c r="KRW393" s="66"/>
      <c r="KRX393" s="66"/>
      <c r="KRY393" s="66"/>
      <c r="KRZ393" s="66"/>
      <c r="KSA393" s="66"/>
      <c r="KSB393" s="66"/>
      <c r="KSC393" s="66"/>
      <c r="KSD393" s="66"/>
      <c r="KSE393" s="66"/>
      <c r="KSF393" s="66"/>
      <c r="KSG393" s="66"/>
      <c r="KSH393" s="66"/>
      <c r="KSI393" s="66"/>
      <c r="KSJ393" s="66"/>
      <c r="KSK393" s="66"/>
      <c r="KSL393" s="66"/>
      <c r="KSM393" s="66"/>
      <c r="KSN393" s="66"/>
      <c r="KSO393" s="66"/>
      <c r="KSP393" s="66"/>
      <c r="KSQ393" s="66"/>
      <c r="KSR393" s="66"/>
      <c r="KSS393" s="66"/>
      <c r="KST393" s="66"/>
      <c r="KSU393" s="66"/>
      <c r="KSV393" s="66"/>
      <c r="KSW393" s="66"/>
      <c r="KSX393" s="66"/>
      <c r="KSY393" s="66"/>
      <c r="KSZ393" s="66"/>
      <c r="KTA393" s="66"/>
      <c r="KTB393" s="66"/>
      <c r="KTC393" s="66"/>
      <c r="KTD393" s="66"/>
      <c r="KTE393" s="66"/>
      <c r="KTF393" s="66"/>
      <c r="KTG393" s="66"/>
      <c r="KTH393" s="66"/>
      <c r="KTI393" s="66"/>
      <c r="KTJ393" s="66"/>
      <c r="KTK393" s="66"/>
      <c r="KTL393" s="66"/>
      <c r="KTM393" s="66"/>
      <c r="KTN393" s="66"/>
      <c r="KTO393" s="66"/>
      <c r="KTP393" s="66"/>
      <c r="KTQ393" s="66"/>
      <c r="KTR393" s="66"/>
      <c r="KTS393" s="66"/>
      <c r="KTT393" s="66"/>
      <c r="KTU393" s="66"/>
      <c r="KTV393" s="66"/>
      <c r="KTW393" s="66"/>
      <c r="KTX393" s="66"/>
      <c r="KTY393" s="66"/>
      <c r="KTZ393" s="66"/>
      <c r="KUA393" s="66"/>
      <c r="KUB393" s="66"/>
      <c r="KUC393" s="66"/>
      <c r="KUD393" s="66"/>
      <c r="KUE393" s="66"/>
      <c r="KUF393" s="66"/>
      <c r="KUG393" s="66"/>
      <c r="KUH393" s="66"/>
      <c r="KUI393" s="66"/>
      <c r="KUJ393" s="66"/>
      <c r="KUK393" s="66"/>
      <c r="KUL393" s="66"/>
      <c r="KUM393" s="66"/>
      <c r="KUN393" s="66"/>
      <c r="KUO393" s="66"/>
      <c r="KUP393" s="66"/>
      <c r="KUQ393" s="66"/>
      <c r="KUR393" s="66"/>
      <c r="KUS393" s="66"/>
      <c r="KUT393" s="66"/>
      <c r="KUU393" s="66"/>
      <c r="KUV393" s="66"/>
      <c r="KUW393" s="66"/>
      <c r="KUX393" s="66"/>
      <c r="KUY393" s="66"/>
      <c r="KUZ393" s="66"/>
      <c r="KVA393" s="66"/>
      <c r="KVB393" s="66"/>
      <c r="KVC393" s="66"/>
      <c r="KVD393" s="66"/>
      <c r="KVE393" s="66"/>
      <c r="KVF393" s="66"/>
      <c r="KVG393" s="66"/>
      <c r="KVH393" s="66"/>
      <c r="KVI393" s="66"/>
      <c r="KVJ393" s="66"/>
      <c r="KVK393" s="66"/>
      <c r="KVL393" s="66"/>
      <c r="KVM393" s="66"/>
      <c r="KVN393" s="66"/>
      <c r="KVO393" s="66"/>
      <c r="KVP393" s="66"/>
      <c r="KVQ393" s="66"/>
      <c r="KVR393" s="66"/>
      <c r="KVS393" s="66"/>
      <c r="KVT393" s="66"/>
      <c r="KVU393" s="66"/>
      <c r="KVV393" s="66"/>
      <c r="KVW393" s="66"/>
      <c r="KVX393" s="66"/>
      <c r="KVY393" s="66"/>
      <c r="KVZ393" s="66"/>
      <c r="KWA393" s="66"/>
      <c r="KWB393" s="66"/>
      <c r="KWC393" s="66"/>
      <c r="KWD393" s="66"/>
      <c r="KWE393" s="66"/>
      <c r="KWF393" s="66"/>
      <c r="KWG393" s="66"/>
      <c r="KWH393" s="66"/>
      <c r="KWI393" s="66"/>
      <c r="KWJ393" s="66"/>
      <c r="KWK393" s="66"/>
      <c r="KWL393" s="66"/>
      <c r="KWM393" s="66"/>
      <c r="KWN393" s="66"/>
      <c r="KWO393" s="66"/>
      <c r="KWP393" s="66"/>
      <c r="KWQ393" s="66"/>
      <c r="KWR393" s="66"/>
      <c r="KWS393" s="66"/>
      <c r="KWT393" s="66"/>
      <c r="KWU393" s="66"/>
      <c r="KWV393" s="66"/>
      <c r="KWW393" s="66"/>
      <c r="KWX393" s="66"/>
      <c r="KWY393" s="66"/>
      <c r="KWZ393" s="66"/>
      <c r="KXA393" s="66"/>
      <c r="KXB393" s="66"/>
      <c r="KXC393" s="66"/>
      <c r="KXD393" s="66"/>
      <c r="KXE393" s="66"/>
      <c r="KXF393" s="66"/>
      <c r="KXG393" s="66"/>
      <c r="KXH393" s="66"/>
      <c r="KXI393" s="66"/>
      <c r="KXJ393" s="66"/>
      <c r="KXK393" s="66"/>
      <c r="KXL393" s="66"/>
      <c r="KXM393" s="66"/>
      <c r="KXN393" s="66"/>
      <c r="KXO393" s="66"/>
      <c r="KXP393" s="66"/>
      <c r="KXQ393" s="66"/>
      <c r="KXR393" s="66"/>
      <c r="KXS393" s="66"/>
      <c r="KXT393" s="66"/>
      <c r="KXU393" s="66"/>
      <c r="KXV393" s="66"/>
      <c r="KXW393" s="66"/>
      <c r="KXX393" s="66"/>
      <c r="KXY393" s="66"/>
      <c r="KXZ393" s="66"/>
      <c r="KYA393" s="66"/>
      <c r="KYB393" s="66"/>
      <c r="KYC393" s="66"/>
      <c r="KYD393" s="66"/>
      <c r="KYE393" s="66"/>
      <c r="KYF393" s="66"/>
      <c r="KYG393" s="66"/>
      <c r="KYH393" s="66"/>
      <c r="KYI393" s="66"/>
      <c r="KYJ393" s="66"/>
      <c r="KYK393" s="66"/>
      <c r="KYL393" s="66"/>
      <c r="KYM393" s="66"/>
      <c r="KYN393" s="66"/>
      <c r="KYO393" s="66"/>
      <c r="KYP393" s="66"/>
      <c r="KYQ393" s="66"/>
      <c r="KYR393" s="66"/>
      <c r="KYS393" s="66"/>
      <c r="KYT393" s="66"/>
      <c r="KYU393" s="66"/>
      <c r="KYV393" s="66"/>
      <c r="KYW393" s="66"/>
      <c r="KYX393" s="66"/>
      <c r="KYY393" s="66"/>
      <c r="KYZ393" s="66"/>
      <c r="KZA393" s="66"/>
      <c r="KZB393" s="66"/>
      <c r="KZC393" s="66"/>
      <c r="KZD393" s="66"/>
      <c r="KZE393" s="66"/>
      <c r="KZF393" s="66"/>
      <c r="KZG393" s="66"/>
      <c r="KZH393" s="66"/>
      <c r="KZI393" s="66"/>
      <c r="KZJ393" s="66"/>
      <c r="KZK393" s="66"/>
      <c r="KZL393" s="66"/>
      <c r="KZM393" s="66"/>
      <c r="KZN393" s="66"/>
      <c r="KZO393" s="66"/>
      <c r="KZP393" s="66"/>
      <c r="KZQ393" s="66"/>
      <c r="KZR393" s="66"/>
      <c r="KZS393" s="66"/>
      <c r="KZT393" s="66"/>
      <c r="KZU393" s="66"/>
      <c r="KZV393" s="66"/>
      <c r="KZW393" s="66"/>
      <c r="KZX393" s="66"/>
      <c r="KZY393" s="66"/>
      <c r="KZZ393" s="66"/>
      <c r="LAA393" s="66"/>
      <c r="LAB393" s="66"/>
      <c r="LAC393" s="66"/>
      <c r="LAD393" s="66"/>
      <c r="LAE393" s="66"/>
      <c r="LAF393" s="66"/>
      <c r="LAG393" s="66"/>
      <c r="LAH393" s="66"/>
      <c r="LAI393" s="66"/>
      <c r="LAJ393" s="66"/>
      <c r="LAK393" s="66"/>
      <c r="LAL393" s="66"/>
      <c r="LAM393" s="66"/>
      <c r="LAN393" s="66"/>
      <c r="LAO393" s="66"/>
      <c r="LAP393" s="66"/>
      <c r="LAQ393" s="66"/>
      <c r="LAR393" s="66"/>
      <c r="LAS393" s="66"/>
      <c r="LAT393" s="66"/>
      <c r="LAU393" s="66"/>
      <c r="LAV393" s="66"/>
      <c r="LAW393" s="66"/>
      <c r="LAX393" s="66"/>
      <c r="LAY393" s="66"/>
      <c r="LAZ393" s="66"/>
      <c r="LBA393" s="66"/>
      <c r="LBB393" s="66"/>
      <c r="LBC393" s="66"/>
      <c r="LBD393" s="66"/>
      <c r="LBE393" s="66"/>
      <c r="LBF393" s="66"/>
      <c r="LBG393" s="66"/>
      <c r="LBH393" s="66"/>
      <c r="LBI393" s="66"/>
      <c r="LBJ393" s="66"/>
      <c r="LBK393" s="66"/>
      <c r="LBL393" s="66"/>
      <c r="LBM393" s="66"/>
      <c r="LBN393" s="66"/>
      <c r="LBO393" s="66"/>
      <c r="LBP393" s="66"/>
      <c r="LBQ393" s="66"/>
      <c r="LBR393" s="66"/>
      <c r="LBS393" s="66"/>
      <c r="LBT393" s="66"/>
      <c r="LBU393" s="66"/>
      <c r="LBV393" s="66"/>
      <c r="LBW393" s="66"/>
      <c r="LBX393" s="66"/>
      <c r="LBY393" s="66"/>
      <c r="LBZ393" s="66"/>
      <c r="LCA393" s="66"/>
      <c r="LCB393" s="66"/>
      <c r="LCC393" s="66"/>
      <c r="LCD393" s="66"/>
      <c r="LCE393" s="66"/>
      <c r="LCF393" s="66"/>
      <c r="LCG393" s="66"/>
      <c r="LCH393" s="66"/>
      <c r="LCI393" s="66"/>
      <c r="LCJ393" s="66"/>
      <c r="LCK393" s="66"/>
      <c r="LCL393" s="66"/>
      <c r="LCM393" s="66"/>
      <c r="LCN393" s="66"/>
      <c r="LCO393" s="66"/>
      <c r="LCP393" s="66"/>
      <c r="LCQ393" s="66"/>
      <c r="LCR393" s="66"/>
      <c r="LCS393" s="66"/>
      <c r="LCT393" s="66"/>
      <c r="LCU393" s="66"/>
      <c r="LCV393" s="66"/>
      <c r="LCW393" s="66"/>
      <c r="LCX393" s="66"/>
      <c r="LCY393" s="66"/>
      <c r="LCZ393" s="66"/>
      <c r="LDA393" s="66"/>
      <c r="LDB393" s="66"/>
      <c r="LDC393" s="66"/>
      <c r="LDD393" s="66"/>
      <c r="LDE393" s="66"/>
      <c r="LDF393" s="66"/>
      <c r="LDG393" s="66"/>
      <c r="LDH393" s="66"/>
      <c r="LDI393" s="66"/>
      <c r="LDJ393" s="66"/>
      <c r="LDK393" s="66"/>
      <c r="LDL393" s="66"/>
      <c r="LDM393" s="66"/>
      <c r="LDN393" s="66"/>
      <c r="LDO393" s="66"/>
      <c r="LDP393" s="66"/>
      <c r="LDQ393" s="66"/>
      <c r="LDR393" s="66"/>
      <c r="LDS393" s="66"/>
      <c r="LDT393" s="66"/>
      <c r="LDU393" s="66"/>
      <c r="LDV393" s="66"/>
      <c r="LDW393" s="66"/>
      <c r="LDX393" s="66"/>
      <c r="LDY393" s="66"/>
      <c r="LDZ393" s="66"/>
      <c r="LEA393" s="66"/>
      <c r="LEB393" s="66"/>
      <c r="LEC393" s="66"/>
      <c r="LED393" s="66"/>
      <c r="LEE393" s="66"/>
      <c r="LEF393" s="66"/>
      <c r="LEG393" s="66"/>
      <c r="LEH393" s="66"/>
      <c r="LEI393" s="66"/>
      <c r="LEJ393" s="66"/>
      <c r="LEK393" s="66"/>
      <c r="LEL393" s="66"/>
      <c r="LEM393" s="66"/>
      <c r="LEN393" s="66"/>
      <c r="LEO393" s="66"/>
      <c r="LEP393" s="66"/>
      <c r="LEQ393" s="66"/>
      <c r="LER393" s="66"/>
      <c r="LES393" s="66"/>
      <c r="LET393" s="66"/>
      <c r="LEU393" s="66"/>
      <c r="LEV393" s="66"/>
      <c r="LEW393" s="66"/>
      <c r="LEX393" s="66"/>
      <c r="LEY393" s="66"/>
      <c r="LEZ393" s="66"/>
      <c r="LFA393" s="66"/>
      <c r="LFB393" s="66"/>
      <c r="LFC393" s="66"/>
      <c r="LFD393" s="66"/>
      <c r="LFE393" s="66"/>
      <c r="LFF393" s="66"/>
      <c r="LFG393" s="66"/>
      <c r="LFH393" s="66"/>
      <c r="LFI393" s="66"/>
      <c r="LFJ393" s="66"/>
      <c r="LFK393" s="66"/>
      <c r="LFL393" s="66"/>
      <c r="LFM393" s="66"/>
      <c r="LFN393" s="66"/>
      <c r="LFO393" s="66"/>
      <c r="LFP393" s="66"/>
      <c r="LFQ393" s="66"/>
      <c r="LFR393" s="66"/>
      <c r="LFS393" s="66"/>
      <c r="LFT393" s="66"/>
      <c r="LFU393" s="66"/>
      <c r="LFV393" s="66"/>
      <c r="LFW393" s="66"/>
      <c r="LFX393" s="66"/>
      <c r="LFY393" s="66"/>
      <c r="LFZ393" s="66"/>
      <c r="LGA393" s="66"/>
      <c r="LGB393" s="66"/>
      <c r="LGC393" s="66"/>
      <c r="LGD393" s="66"/>
      <c r="LGE393" s="66"/>
      <c r="LGF393" s="66"/>
      <c r="LGG393" s="66"/>
      <c r="LGH393" s="66"/>
      <c r="LGI393" s="66"/>
      <c r="LGJ393" s="66"/>
      <c r="LGK393" s="66"/>
      <c r="LGL393" s="66"/>
      <c r="LGM393" s="66"/>
      <c r="LGN393" s="66"/>
      <c r="LGO393" s="66"/>
      <c r="LGP393" s="66"/>
      <c r="LGQ393" s="66"/>
      <c r="LGR393" s="66"/>
      <c r="LGS393" s="66"/>
      <c r="LGT393" s="66"/>
      <c r="LGU393" s="66"/>
      <c r="LGV393" s="66"/>
      <c r="LGW393" s="66"/>
      <c r="LGX393" s="66"/>
      <c r="LGY393" s="66"/>
      <c r="LGZ393" s="66"/>
      <c r="LHA393" s="66"/>
      <c r="LHB393" s="66"/>
      <c r="LHC393" s="66"/>
      <c r="LHD393" s="66"/>
      <c r="LHE393" s="66"/>
      <c r="LHF393" s="66"/>
      <c r="LHG393" s="66"/>
      <c r="LHH393" s="66"/>
      <c r="LHI393" s="66"/>
      <c r="LHJ393" s="66"/>
      <c r="LHK393" s="66"/>
      <c r="LHL393" s="66"/>
      <c r="LHM393" s="66"/>
      <c r="LHN393" s="66"/>
      <c r="LHO393" s="66"/>
      <c r="LHP393" s="66"/>
      <c r="LHQ393" s="66"/>
      <c r="LHR393" s="66"/>
      <c r="LHS393" s="66"/>
      <c r="LHT393" s="66"/>
      <c r="LHU393" s="66"/>
      <c r="LHV393" s="66"/>
      <c r="LHW393" s="66"/>
      <c r="LHX393" s="66"/>
      <c r="LHY393" s="66"/>
      <c r="LHZ393" s="66"/>
      <c r="LIA393" s="66"/>
      <c r="LIB393" s="66"/>
      <c r="LIC393" s="66"/>
      <c r="LID393" s="66"/>
      <c r="LIE393" s="66"/>
      <c r="LIF393" s="66"/>
      <c r="LIG393" s="66"/>
      <c r="LIH393" s="66"/>
      <c r="LII393" s="66"/>
      <c r="LIJ393" s="66"/>
      <c r="LIK393" s="66"/>
      <c r="LIL393" s="66"/>
      <c r="LIM393" s="66"/>
      <c r="LIN393" s="66"/>
      <c r="LIO393" s="66"/>
      <c r="LIP393" s="66"/>
      <c r="LIQ393" s="66"/>
      <c r="LIR393" s="66"/>
      <c r="LIS393" s="66"/>
      <c r="LIT393" s="66"/>
      <c r="LIU393" s="66"/>
      <c r="LIV393" s="66"/>
      <c r="LIW393" s="66"/>
      <c r="LIX393" s="66"/>
      <c r="LIY393" s="66"/>
      <c r="LIZ393" s="66"/>
      <c r="LJA393" s="66"/>
      <c r="LJB393" s="66"/>
      <c r="LJC393" s="66"/>
      <c r="LJD393" s="66"/>
      <c r="LJE393" s="66"/>
      <c r="LJF393" s="66"/>
      <c r="LJG393" s="66"/>
      <c r="LJH393" s="66"/>
      <c r="LJI393" s="66"/>
      <c r="LJJ393" s="66"/>
      <c r="LJK393" s="66"/>
      <c r="LJL393" s="66"/>
      <c r="LJM393" s="66"/>
      <c r="LJN393" s="66"/>
      <c r="LJO393" s="66"/>
      <c r="LJP393" s="66"/>
      <c r="LJQ393" s="66"/>
      <c r="LJR393" s="66"/>
      <c r="LJS393" s="66"/>
      <c r="LJT393" s="66"/>
      <c r="LJU393" s="66"/>
      <c r="LJV393" s="66"/>
      <c r="LJW393" s="66"/>
      <c r="LJX393" s="66"/>
      <c r="LJY393" s="66"/>
      <c r="LJZ393" s="66"/>
      <c r="LKA393" s="66"/>
      <c r="LKB393" s="66"/>
      <c r="LKC393" s="66"/>
      <c r="LKD393" s="66"/>
      <c r="LKE393" s="66"/>
      <c r="LKF393" s="66"/>
      <c r="LKG393" s="66"/>
      <c r="LKH393" s="66"/>
      <c r="LKI393" s="66"/>
      <c r="LKJ393" s="66"/>
      <c r="LKK393" s="66"/>
      <c r="LKL393" s="66"/>
      <c r="LKM393" s="66"/>
      <c r="LKN393" s="66"/>
      <c r="LKO393" s="66"/>
      <c r="LKP393" s="66"/>
      <c r="LKQ393" s="66"/>
      <c r="LKR393" s="66"/>
      <c r="LKS393" s="66"/>
      <c r="LKT393" s="66"/>
      <c r="LKU393" s="66"/>
      <c r="LKV393" s="66"/>
      <c r="LKW393" s="66"/>
      <c r="LKX393" s="66"/>
      <c r="LKY393" s="66"/>
      <c r="LKZ393" s="66"/>
      <c r="LLA393" s="66"/>
      <c r="LLB393" s="66"/>
      <c r="LLC393" s="66"/>
      <c r="LLD393" s="66"/>
      <c r="LLE393" s="66"/>
      <c r="LLF393" s="66"/>
      <c r="LLG393" s="66"/>
      <c r="LLH393" s="66"/>
      <c r="LLI393" s="66"/>
      <c r="LLJ393" s="66"/>
      <c r="LLK393" s="66"/>
      <c r="LLL393" s="66"/>
      <c r="LLM393" s="66"/>
      <c r="LLN393" s="66"/>
      <c r="LLO393" s="66"/>
      <c r="LLP393" s="66"/>
      <c r="LLQ393" s="66"/>
      <c r="LLR393" s="66"/>
      <c r="LLS393" s="66"/>
      <c r="LLT393" s="66"/>
      <c r="LLU393" s="66"/>
      <c r="LLV393" s="66"/>
      <c r="LLW393" s="66"/>
      <c r="LLX393" s="66"/>
      <c r="LLY393" s="66"/>
      <c r="LLZ393" s="66"/>
      <c r="LMA393" s="66"/>
      <c r="LMB393" s="66"/>
      <c r="LMC393" s="66"/>
      <c r="LMD393" s="66"/>
      <c r="LME393" s="66"/>
      <c r="LMF393" s="66"/>
      <c r="LMG393" s="66"/>
      <c r="LMH393" s="66"/>
      <c r="LMI393" s="66"/>
      <c r="LMJ393" s="66"/>
      <c r="LMK393" s="66"/>
      <c r="LML393" s="66"/>
      <c r="LMM393" s="66"/>
      <c r="LMN393" s="66"/>
      <c r="LMO393" s="66"/>
      <c r="LMP393" s="66"/>
      <c r="LMQ393" s="66"/>
      <c r="LMR393" s="66"/>
      <c r="LMS393" s="66"/>
      <c r="LMT393" s="66"/>
      <c r="LMU393" s="66"/>
      <c r="LMV393" s="66"/>
      <c r="LMW393" s="66"/>
      <c r="LMX393" s="66"/>
      <c r="LMY393" s="66"/>
      <c r="LMZ393" s="66"/>
      <c r="LNA393" s="66"/>
      <c r="LNB393" s="66"/>
      <c r="LNC393" s="66"/>
      <c r="LND393" s="66"/>
      <c r="LNE393" s="66"/>
      <c r="LNF393" s="66"/>
      <c r="LNG393" s="66"/>
      <c r="LNH393" s="66"/>
      <c r="LNI393" s="66"/>
      <c r="LNJ393" s="66"/>
      <c r="LNK393" s="66"/>
      <c r="LNL393" s="66"/>
      <c r="LNM393" s="66"/>
      <c r="LNN393" s="66"/>
      <c r="LNO393" s="66"/>
      <c r="LNP393" s="66"/>
      <c r="LNQ393" s="66"/>
      <c r="LNR393" s="66"/>
      <c r="LNS393" s="66"/>
      <c r="LNT393" s="66"/>
      <c r="LNU393" s="66"/>
      <c r="LNV393" s="66"/>
      <c r="LNW393" s="66"/>
      <c r="LNX393" s="66"/>
      <c r="LNY393" s="66"/>
      <c r="LNZ393" s="66"/>
      <c r="LOA393" s="66"/>
      <c r="LOB393" s="66"/>
      <c r="LOC393" s="66"/>
      <c r="LOD393" s="66"/>
      <c r="LOE393" s="66"/>
      <c r="LOF393" s="66"/>
      <c r="LOG393" s="66"/>
      <c r="LOH393" s="66"/>
      <c r="LOI393" s="66"/>
      <c r="LOJ393" s="66"/>
      <c r="LOK393" s="66"/>
      <c r="LOL393" s="66"/>
      <c r="LOM393" s="66"/>
      <c r="LON393" s="66"/>
      <c r="LOO393" s="66"/>
      <c r="LOP393" s="66"/>
      <c r="LOQ393" s="66"/>
      <c r="LOR393" s="66"/>
      <c r="LOS393" s="66"/>
      <c r="LOT393" s="66"/>
      <c r="LOU393" s="66"/>
      <c r="LOV393" s="66"/>
      <c r="LOW393" s="66"/>
      <c r="LOX393" s="66"/>
      <c r="LOY393" s="66"/>
      <c r="LOZ393" s="66"/>
      <c r="LPA393" s="66"/>
      <c r="LPB393" s="66"/>
      <c r="LPC393" s="66"/>
      <c r="LPD393" s="66"/>
      <c r="LPE393" s="66"/>
      <c r="LPF393" s="66"/>
      <c r="LPG393" s="66"/>
      <c r="LPH393" s="66"/>
      <c r="LPI393" s="66"/>
      <c r="LPJ393" s="66"/>
      <c r="LPK393" s="66"/>
      <c r="LPL393" s="66"/>
      <c r="LPM393" s="66"/>
      <c r="LPN393" s="66"/>
      <c r="LPO393" s="66"/>
      <c r="LPP393" s="66"/>
      <c r="LPQ393" s="66"/>
      <c r="LPR393" s="66"/>
      <c r="LPS393" s="66"/>
      <c r="LPT393" s="66"/>
      <c r="LPU393" s="66"/>
      <c r="LPV393" s="66"/>
      <c r="LPW393" s="66"/>
      <c r="LPX393" s="66"/>
      <c r="LPY393" s="66"/>
      <c r="LPZ393" s="66"/>
      <c r="LQA393" s="66"/>
      <c r="LQB393" s="66"/>
      <c r="LQC393" s="66"/>
      <c r="LQD393" s="66"/>
      <c r="LQE393" s="66"/>
      <c r="LQF393" s="66"/>
      <c r="LQG393" s="66"/>
      <c r="LQH393" s="66"/>
      <c r="LQI393" s="66"/>
      <c r="LQJ393" s="66"/>
      <c r="LQK393" s="66"/>
      <c r="LQL393" s="66"/>
      <c r="LQM393" s="66"/>
      <c r="LQN393" s="66"/>
      <c r="LQO393" s="66"/>
      <c r="LQP393" s="66"/>
      <c r="LQQ393" s="66"/>
      <c r="LQR393" s="66"/>
      <c r="LQS393" s="66"/>
      <c r="LQT393" s="66"/>
      <c r="LQU393" s="66"/>
      <c r="LQV393" s="66"/>
      <c r="LQW393" s="66"/>
      <c r="LQX393" s="66"/>
      <c r="LQY393" s="66"/>
      <c r="LQZ393" s="66"/>
      <c r="LRA393" s="66"/>
      <c r="LRB393" s="66"/>
      <c r="LRC393" s="66"/>
      <c r="LRD393" s="66"/>
      <c r="LRE393" s="66"/>
      <c r="LRF393" s="66"/>
      <c r="LRG393" s="66"/>
      <c r="LRH393" s="66"/>
      <c r="LRI393" s="66"/>
      <c r="LRJ393" s="66"/>
      <c r="LRK393" s="66"/>
      <c r="LRL393" s="66"/>
      <c r="LRM393" s="66"/>
      <c r="LRN393" s="66"/>
      <c r="LRO393" s="66"/>
      <c r="LRP393" s="66"/>
      <c r="LRQ393" s="66"/>
      <c r="LRR393" s="66"/>
      <c r="LRS393" s="66"/>
      <c r="LRT393" s="66"/>
      <c r="LRU393" s="66"/>
      <c r="LRV393" s="66"/>
      <c r="LRW393" s="66"/>
      <c r="LRX393" s="66"/>
      <c r="LRY393" s="66"/>
      <c r="LRZ393" s="66"/>
      <c r="LSA393" s="66"/>
      <c r="LSB393" s="66"/>
      <c r="LSC393" s="66"/>
      <c r="LSD393" s="66"/>
      <c r="LSE393" s="66"/>
      <c r="LSF393" s="66"/>
      <c r="LSG393" s="66"/>
      <c r="LSH393" s="66"/>
      <c r="LSI393" s="66"/>
      <c r="LSJ393" s="66"/>
      <c r="LSK393" s="66"/>
      <c r="LSL393" s="66"/>
      <c r="LSM393" s="66"/>
      <c r="LSN393" s="66"/>
      <c r="LSO393" s="66"/>
      <c r="LSP393" s="66"/>
      <c r="LSQ393" s="66"/>
      <c r="LSR393" s="66"/>
      <c r="LSS393" s="66"/>
      <c r="LST393" s="66"/>
      <c r="LSU393" s="66"/>
      <c r="LSV393" s="66"/>
      <c r="LSW393" s="66"/>
      <c r="LSX393" s="66"/>
      <c r="LSY393" s="66"/>
      <c r="LSZ393" s="66"/>
      <c r="LTA393" s="66"/>
      <c r="LTB393" s="66"/>
      <c r="LTC393" s="66"/>
      <c r="LTD393" s="66"/>
      <c r="LTE393" s="66"/>
      <c r="LTF393" s="66"/>
      <c r="LTG393" s="66"/>
      <c r="LTH393" s="66"/>
      <c r="LTI393" s="66"/>
      <c r="LTJ393" s="66"/>
      <c r="LTK393" s="66"/>
      <c r="LTL393" s="66"/>
      <c r="LTM393" s="66"/>
      <c r="LTN393" s="66"/>
      <c r="LTO393" s="66"/>
      <c r="LTP393" s="66"/>
      <c r="LTQ393" s="66"/>
      <c r="LTR393" s="66"/>
      <c r="LTS393" s="66"/>
      <c r="LTT393" s="66"/>
      <c r="LTU393" s="66"/>
      <c r="LTV393" s="66"/>
      <c r="LTW393" s="66"/>
      <c r="LTX393" s="66"/>
      <c r="LTY393" s="66"/>
      <c r="LTZ393" s="66"/>
      <c r="LUA393" s="66"/>
      <c r="LUB393" s="66"/>
      <c r="LUC393" s="66"/>
      <c r="LUD393" s="66"/>
      <c r="LUE393" s="66"/>
      <c r="LUF393" s="66"/>
      <c r="LUG393" s="66"/>
      <c r="LUH393" s="66"/>
      <c r="LUI393" s="66"/>
      <c r="LUJ393" s="66"/>
      <c r="LUK393" s="66"/>
      <c r="LUL393" s="66"/>
      <c r="LUM393" s="66"/>
      <c r="LUN393" s="66"/>
      <c r="LUO393" s="66"/>
      <c r="LUP393" s="66"/>
      <c r="LUQ393" s="66"/>
      <c r="LUR393" s="66"/>
      <c r="LUS393" s="66"/>
      <c r="LUT393" s="66"/>
      <c r="LUU393" s="66"/>
      <c r="LUV393" s="66"/>
      <c r="LUW393" s="66"/>
      <c r="LUX393" s="66"/>
      <c r="LUY393" s="66"/>
      <c r="LUZ393" s="66"/>
      <c r="LVA393" s="66"/>
      <c r="LVB393" s="66"/>
      <c r="LVC393" s="66"/>
      <c r="LVD393" s="66"/>
      <c r="LVE393" s="66"/>
      <c r="LVF393" s="66"/>
      <c r="LVG393" s="66"/>
      <c r="LVH393" s="66"/>
      <c r="LVI393" s="66"/>
      <c r="LVJ393" s="66"/>
      <c r="LVK393" s="66"/>
      <c r="LVL393" s="66"/>
      <c r="LVM393" s="66"/>
      <c r="LVN393" s="66"/>
      <c r="LVO393" s="66"/>
      <c r="LVP393" s="66"/>
      <c r="LVQ393" s="66"/>
      <c r="LVR393" s="66"/>
      <c r="LVS393" s="66"/>
      <c r="LVT393" s="66"/>
      <c r="LVU393" s="66"/>
      <c r="LVV393" s="66"/>
      <c r="LVW393" s="66"/>
      <c r="LVX393" s="66"/>
      <c r="LVY393" s="66"/>
      <c r="LVZ393" s="66"/>
      <c r="LWA393" s="66"/>
      <c r="LWB393" s="66"/>
      <c r="LWC393" s="66"/>
      <c r="LWD393" s="66"/>
      <c r="LWE393" s="66"/>
      <c r="LWF393" s="66"/>
      <c r="LWG393" s="66"/>
      <c r="LWH393" s="66"/>
      <c r="LWI393" s="66"/>
      <c r="LWJ393" s="66"/>
      <c r="LWK393" s="66"/>
      <c r="LWL393" s="66"/>
      <c r="LWM393" s="66"/>
      <c r="LWN393" s="66"/>
      <c r="LWO393" s="66"/>
      <c r="LWP393" s="66"/>
      <c r="LWQ393" s="66"/>
      <c r="LWR393" s="66"/>
      <c r="LWS393" s="66"/>
      <c r="LWT393" s="66"/>
      <c r="LWU393" s="66"/>
      <c r="LWV393" s="66"/>
      <c r="LWW393" s="66"/>
      <c r="LWX393" s="66"/>
      <c r="LWY393" s="66"/>
      <c r="LWZ393" s="66"/>
      <c r="LXA393" s="66"/>
      <c r="LXB393" s="66"/>
      <c r="LXC393" s="66"/>
      <c r="LXD393" s="66"/>
      <c r="LXE393" s="66"/>
      <c r="LXF393" s="66"/>
      <c r="LXG393" s="66"/>
      <c r="LXH393" s="66"/>
      <c r="LXI393" s="66"/>
      <c r="LXJ393" s="66"/>
      <c r="LXK393" s="66"/>
      <c r="LXL393" s="66"/>
      <c r="LXM393" s="66"/>
      <c r="LXN393" s="66"/>
      <c r="LXO393" s="66"/>
      <c r="LXP393" s="66"/>
      <c r="LXQ393" s="66"/>
      <c r="LXR393" s="66"/>
      <c r="LXS393" s="66"/>
      <c r="LXT393" s="66"/>
      <c r="LXU393" s="66"/>
      <c r="LXV393" s="66"/>
      <c r="LXW393" s="66"/>
      <c r="LXX393" s="66"/>
      <c r="LXY393" s="66"/>
      <c r="LXZ393" s="66"/>
      <c r="LYA393" s="66"/>
      <c r="LYB393" s="66"/>
      <c r="LYC393" s="66"/>
      <c r="LYD393" s="66"/>
      <c r="LYE393" s="66"/>
      <c r="LYF393" s="66"/>
      <c r="LYG393" s="66"/>
      <c r="LYH393" s="66"/>
      <c r="LYI393" s="66"/>
      <c r="LYJ393" s="66"/>
      <c r="LYK393" s="66"/>
      <c r="LYL393" s="66"/>
      <c r="LYM393" s="66"/>
      <c r="LYN393" s="66"/>
      <c r="LYO393" s="66"/>
      <c r="LYP393" s="66"/>
      <c r="LYQ393" s="66"/>
      <c r="LYR393" s="66"/>
      <c r="LYS393" s="66"/>
      <c r="LYT393" s="66"/>
      <c r="LYU393" s="66"/>
      <c r="LYV393" s="66"/>
      <c r="LYW393" s="66"/>
      <c r="LYX393" s="66"/>
      <c r="LYY393" s="66"/>
      <c r="LYZ393" s="66"/>
      <c r="LZA393" s="66"/>
      <c r="LZB393" s="66"/>
      <c r="LZC393" s="66"/>
      <c r="LZD393" s="66"/>
      <c r="LZE393" s="66"/>
      <c r="LZF393" s="66"/>
      <c r="LZG393" s="66"/>
      <c r="LZH393" s="66"/>
      <c r="LZI393" s="66"/>
      <c r="LZJ393" s="66"/>
      <c r="LZK393" s="66"/>
      <c r="LZL393" s="66"/>
      <c r="LZM393" s="66"/>
      <c r="LZN393" s="66"/>
      <c r="LZO393" s="66"/>
      <c r="LZP393" s="66"/>
      <c r="LZQ393" s="66"/>
      <c r="LZR393" s="66"/>
      <c r="LZS393" s="66"/>
      <c r="LZT393" s="66"/>
      <c r="LZU393" s="66"/>
      <c r="LZV393" s="66"/>
      <c r="LZW393" s="66"/>
      <c r="LZX393" s="66"/>
      <c r="LZY393" s="66"/>
      <c r="LZZ393" s="66"/>
      <c r="MAA393" s="66"/>
      <c r="MAB393" s="66"/>
      <c r="MAC393" s="66"/>
      <c r="MAD393" s="66"/>
      <c r="MAE393" s="66"/>
      <c r="MAF393" s="66"/>
      <c r="MAG393" s="66"/>
      <c r="MAH393" s="66"/>
      <c r="MAI393" s="66"/>
      <c r="MAJ393" s="66"/>
      <c r="MAK393" s="66"/>
      <c r="MAL393" s="66"/>
      <c r="MAM393" s="66"/>
      <c r="MAN393" s="66"/>
      <c r="MAO393" s="66"/>
      <c r="MAP393" s="66"/>
      <c r="MAQ393" s="66"/>
      <c r="MAR393" s="66"/>
      <c r="MAS393" s="66"/>
      <c r="MAT393" s="66"/>
      <c r="MAU393" s="66"/>
      <c r="MAV393" s="66"/>
      <c r="MAW393" s="66"/>
      <c r="MAX393" s="66"/>
      <c r="MAY393" s="66"/>
      <c r="MAZ393" s="66"/>
      <c r="MBA393" s="66"/>
      <c r="MBB393" s="66"/>
      <c r="MBC393" s="66"/>
      <c r="MBD393" s="66"/>
      <c r="MBE393" s="66"/>
      <c r="MBF393" s="66"/>
      <c r="MBG393" s="66"/>
      <c r="MBH393" s="66"/>
      <c r="MBI393" s="66"/>
      <c r="MBJ393" s="66"/>
      <c r="MBK393" s="66"/>
      <c r="MBL393" s="66"/>
      <c r="MBM393" s="66"/>
      <c r="MBN393" s="66"/>
      <c r="MBO393" s="66"/>
      <c r="MBP393" s="66"/>
      <c r="MBQ393" s="66"/>
      <c r="MBR393" s="66"/>
      <c r="MBS393" s="66"/>
      <c r="MBT393" s="66"/>
      <c r="MBU393" s="66"/>
      <c r="MBV393" s="66"/>
      <c r="MBW393" s="66"/>
      <c r="MBX393" s="66"/>
      <c r="MBY393" s="66"/>
      <c r="MBZ393" s="66"/>
      <c r="MCA393" s="66"/>
      <c r="MCB393" s="66"/>
      <c r="MCC393" s="66"/>
      <c r="MCD393" s="66"/>
      <c r="MCE393" s="66"/>
      <c r="MCF393" s="66"/>
      <c r="MCG393" s="66"/>
      <c r="MCH393" s="66"/>
      <c r="MCI393" s="66"/>
      <c r="MCJ393" s="66"/>
      <c r="MCK393" s="66"/>
      <c r="MCL393" s="66"/>
      <c r="MCM393" s="66"/>
      <c r="MCN393" s="66"/>
      <c r="MCO393" s="66"/>
      <c r="MCP393" s="66"/>
      <c r="MCQ393" s="66"/>
      <c r="MCR393" s="66"/>
      <c r="MCS393" s="66"/>
      <c r="MCT393" s="66"/>
      <c r="MCU393" s="66"/>
      <c r="MCV393" s="66"/>
      <c r="MCW393" s="66"/>
      <c r="MCX393" s="66"/>
      <c r="MCY393" s="66"/>
      <c r="MCZ393" s="66"/>
      <c r="MDA393" s="66"/>
      <c r="MDB393" s="66"/>
      <c r="MDC393" s="66"/>
      <c r="MDD393" s="66"/>
      <c r="MDE393" s="66"/>
      <c r="MDF393" s="66"/>
      <c r="MDG393" s="66"/>
      <c r="MDH393" s="66"/>
      <c r="MDI393" s="66"/>
      <c r="MDJ393" s="66"/>
      <c r="MDK393" s="66"/>
      <c r="MDL393" s="66"/>
      <c r="MDM393" s="66"/>
      <c r="MDN393" s="66"/>
      <c r="MDO393" s="66"/>
      <c r="MDP393" s="66"/>
      <c r="MDQ393" s="66"/>
      <c r="MDR393" s="66"/>
      <c r="MDS393" s="66"/>
      <c r="MDT393" s="66"/>
      <c r="MDU393" s="66"/>
      <c r="MDV393" s="66"/>
      <c r="MDW393" s="66"/>
      <c r="MDX393" s="66"/>
      <c r="MDY393" s="66"/>
      <c r="MDZ393" s="66"/>
      <c r="MEA393" s="66"/>
      <c r="MEB393" s="66"/>
      <c r="MEC393" s="66"/>
      <c r="MED393" s="66"/>
      <c r="MEE393" s="66"/>
      <c r="MEF393" s="66"/>
      <c r="MEG393" s="66"/>
      <c r="MEH393" s="66"/>
      <c r="MEI393" s="66"/>
      <c r="MEJ393" s="66"/>
      <c r="MEK393" s="66"/>
      <c r="MEL393" s="66"/>
      <c r="MEM393" s="66"/>
      <c r="MEN393" s="66"/>
      <c r="MEO393" s="66"/>
      <c r="MEP393" s="66"/>
      <c r="MEQ393" s="66"/>
      <c r="MER393" s="66"/>
      <c r="MES393" s="66"/>
      <c r="MET393" s="66"/>
      <c r="MEU393" s="66"/>
      <c r="MEV393" s="66"/>
      <c r="MEW393" s="66"/>
      <c r="MEX393" s="66"/>
      <c r="MEY393" s="66"/>
      <c r="MEZ393" s="66"/>
      <c r="MFA393" s="66"/>
      <c r="MFB393" s="66"/>
      <c r="MFC393" s="66"/>
      <c r="MFD393" s="66"/>
      <c r="MFE393" s="66"/>
      <c r="MFF393" s="66"/>
      <c r="MFG393" s="66"/>
      <c r="MFH393" s="66"/>
      <c r="MFI393" s="66"/>
      <c r="MFJ393" s="66"/>
      <c r="MFK393" s="66"/>
      <c r="MFL393" s="66"/>
      <c r="MFM393" s="66"/>
      <c r="MFN393" s="66"/>
      <c r="MFO393" s="66"/>
      <c r="MFP393" s="66"/>
      <c r="MFQ393" s="66"/>
      <c r="MFR393" s="66"/>
      <c r="MFS393" s="66"/>
      <c r="MFT393" s="66"/>
      <c r="MFU393" s="66"/>
      <c r="MFV393" s="66"/>
      <c r="MFW393" s="66"/>
      <c r="MFX393" s="66"/>
      <c r="MFY393" s="66"/>
      <c r="MFZ393" s="66"/>
      <c r="MGA393" s="66"/>
      <c r="MGB393" s="66"/>
      <c r="MGC393" s="66"/>
      <c r="MGD393" s="66"/>
      <c r="MGE393" s="66"/>
      <c r="MGF393" s="66"/>
      <c r="MGG393" s="66"/>
      <c r="MGH393" s="66"/>
      <c r="MGI393" s="66"/>
      <c r="MGJ393" s="66"/>
      <c r="MGK393" s="66"/>
      <c r="MGL393" s="66"/>
      <c r="MGM393" s="66"/>
      <c r="MGN393" s="66"/>
      <c r="MGO393" s="66"/>
      <c r="MGP393" s="66"/>
      <c r="MGQ393" s="66"/>
      <c r="MGR393" s="66"/>
      <c r="MGS393" s="66"/>
      <c r="MGT393" s="66"/>
      <c r="MGU393" s="66"/>
      <c r="MGV393" s="66"/>
      <c r="MGW393" s="66"/>
      <c r="MGX393" s="66"/>
      <c r="MGY393" s="66"/>
      <c r="MGZ393" s="66"/>
      <c r="MHA393" s="66"/>
      <c r="MHB393" s="66"/>
      <c r="MHC393" s="66"/>
      <c r="MHD393" s="66"/>
      <c r="MHE393" s="66"/>
      <c r="MHF393" s="66"/>
      <c r="MHG393" s="66"/>
      <c r="MHH393" s="66"/>
      <c r="MHI393" s="66"/>
      <c r="MHJ393" s="66"/>
      <c r="MHK393" s="66"/>
      <c r="MHL393" s="66"/>
      <c r="MHM393" s="66"/>
      <c r="MHN393" s="66"/>
      <c r="MHO393" s="66"/>
      <c r="MHP393" s="66"/>
      <c r="MHQ393" s="66"/>
      <c r="MHR393" s="66"/>
      <c r="MHS393" s="66"/>
      <c r="MHT393" s="66"/>
      <c r="MHU393" s="66"/>
      <c r="MHV393" s="66"/>
      <c r="MHW393" s="66"/>
      <c r="MHX393" s="66"/>
      <c r="MHY393" s="66"/>
      <c r="MHZ393" s="66"/>
      <c r="MIA393" s="66"/>
      <c r="MIB393" s="66"/>
      <c r="MIC393" s="66"/>
      <c r="MID393" s="66"/>
      <c r="MIE393" s="66"/>
      <c r="MIF393" s="66"/>
      <c r="MIG393" s="66"/>
      <c r="MIH393" s="66"/>
      <c r="MII393" s="66"/>
      <c r="MIJ393" s="66"/>
      <c r="MIK393" s="66"/>
      <c r="MIL393" s="66"/>
      <c r="MIM393" s="66"/>
      <c r="MIN393" s="66"/>
      <c r="MIO393" s="66"/>
      <c r="MIP393" s="66"/>
      <c r="MIQ393" s="66"/>
      <c r="MIR393" s="66"/>
      <c r="MIS393" s="66"/>
      <c r="MIT393" s="66"/>
      <c r="MIU393" s="66"/>
      <c r="MIV393" s="66"/>
      <c r="MIW393" s="66"/>
      <c r="MIX393" s="66"/>
      <c r="MIY393" s="66"/>
      <c r="MIZ393" s="66"/>
      <c r="MJA393" s="66"/>
      <c r="MJB393" s="66"/>
      <c r="MJC393" s="66"/>
      <c r="MJD393" s="66"/>
      <c r="MJE393" s="66"/>
      <c r="MJF393" s="66"/>
      <c r="MJG393" s="66"/>
      <c r="MJH393" s="66"/>
      <c r="MJI393" s="66"/>
      <c r="MJJ393" s="66"/>
      <c r="MJK393" s="66"/>
      <c r="MJL393" s="66"/>
      <c r="MJM393" s="66"/>
      <c r="MJN393" s="66"/>
      <c r="MJO393" s="66"/>
      <c r="MJP393" s="66"/>
      <c r="MJQ393" s="66"/>
      <c r="MJR393" s="66"/>
      <c r="MJS393" s="66"/>
      <c r="MJT393" s="66"/>
      <c r="MJU393" s="66"/>
      <c r="MJV393" s="66"/>
      <c r="MJW393" s="66"/>
      <c r="MJX393" s="66"/>
      <c r="MJY393" s="66"/>
      <c r="MJZ393" s="66"/>
      <c r="MKA393" s="66"/>
      <c r="MKB393" s="66"/>
      <c r="MKC393" s="66"/>
      <c r="MKD393" s="66"/>
      <c r="MKE393" s="66"/>
      <c r="MKF393" s="66"/>
      <c r="MKG393" s="66"/>
      <c r="MKH393" s="66"/>
      <c r="MKI393" s="66"/>
      <c r="MKJ393" s="66"/>
      <c r="MKK393" s="66"/>
      <c r="MKL393" s="66"/>
      <c r="MKM393" s="66"/>
      <c r="MKN393" s="66"/>
      <c r="MKO393" s="66"/>
      <c r="MKP393" s="66"/>
      <c r="MKQ393" s="66"/>
      <c r="MKR393" s="66"/>
      <c r="MKS393" s="66"/>
      <c r="MKT393" s="66"/>
      <c r="MKU393" s="66"/>
      <c r="MKV393" s="66"/>
      <c r="MKW393" s="66"/>
      <c r="MKX393" s="66"/>
      <c r="MKY393" s="66"/>
      <c r="MKZ393" s="66"/>
      <c r="MLA393" s="66"/>
      <c r="MLB393" s="66"/>
      <c r="MLC393" s="66"/>
      <c r="MLD393" s="66"/>
      <c r="MLE393" s="66"/>
      <c r="MLF393" s="66"/>
      <c r="MLG393" s="66"/>
      <c r="MLH393" s="66"/>
      <c r="MLI393" s="66"/>
      <c r="MLJ393" s="66"/>
      <c r="MLK393" s="66"/>
      <c r="MLL393" s="66"/>
      <c r="MLM393" s="66"/>
      <c r="MLN393" s="66"/>
      <c r="MLO393" s="66"/>
      <c r="MLP393" s="66"/>
      <c r="MLQ393" s="66"/>
      <c r="MLR393" s="66"/>
      <c r="MLS393" s="66"/>
      <c r="MLT393" s="66"/>
      <c r="MLU393" s="66"/>
      <c r="MLV393" s="66"/>
      <c r="MLW393" s="66"/>
      <c r="MLX393" s="66"/>
      <c r="MLY393" s="66"/>
      <c r="MLZ393" s="66"/>
      <c r="MMA393" s="66"/>
      <c r="MMB393" s="66"/>
      <c r="MMC393" s="66"/>
      <c r="MMD393" s="66"/>
      <c r="MME393" s="66"/>
      <c r="MMF393" s="66"/>
      <c r="MMG393" s="66"/>
      <c r="MMH393" s="66"/>
      <c r="MMI393" s="66"/>
      <c r="MMJ393" s="66"/>
      <c r="MMK393" s="66"/>
      <c r="MML393" s="66"/>
      <c r="MMM393" s="66"/>
      <c r="MMN393" s="66"/>
      <c r="MMO393" s="66"/>
      <c r="MMP393" s="66"/>
      <c r="MMQ393" s="66"/>
      <c r="MMR393" s="66"/>
      <c r="MMS393" s="66"/>
      <c r="MMT393" s="66"/>
      <c r="MMU393" s="66"/>
      <c r="MMV393" s="66"/>
      <c r="MMW393" s="66"/>
      <c r="MMX393" s="66"/>
      <c r="MMY393" s="66"/>
      <c r="MMZ393" s="66"/>
      <c r="MNA393" s="66"/>
      <c r="MNB393" s="66"/>
      <c r="MNC393" s="66"/>
      <c r="MND393" s="66"/>
      <c r="MNE393" s="66"/>
      <c r="MNF393" s="66"/>
      <c r="MNG393" s="66"/>
      <c r="MNH393" s="66"/>
      <c r="MNI393" s="66"/>
      <c r="MNJ393" s="66"/>
      <c r="MNK393" s="66"/>
      <c r="MNL393" s="66"/>
      <c r="MNM393" s="66"/>
      <c r="MNN393" s="66"/>
      <c r="MNO393" s="66"/>
      <c r="MNP393" s="66"/>
      <c r="MNQ393" s="66"/>
      <c r="MNR393" s="66"/>
      <c r="MNS393" s="66"/>
      <c r="MNT393" s="66"/>
      <c r="MNU393" s="66"/>
      <c r="MNV393" s="66"/>
      <c r="MNW393" s="66"/>
      <c r="MNX393" s="66"/>
      <c r="MNY393" s="66"/>
      <c r="MNZ393" s="66"/>
      <c r="MOA393" s="66"/>
      <c r="MOB393" s="66"/>
      <c r="MOC393" s="66"/>
      <c r="MOD393" s="66"/>
      <c r="MOE393" s="66"/>
      <c r="MOF393" s="66"/>
      <c r="MOG393" s="66"/>
      <c r="MOH393" s="66"/>
      <c r="MOI393" s="66"/>
      <c r="MOJ393" s="66"/>
      <c r="MOK393" s="66"/>
      <c r="MOL393" s="66"/>
      <c r="MOM393" s="66"/>
      <c r="MON393" s="66"/>
      <c r="MOO393" s="66"/>
      <c r="MOP393" s="66"/>
      <c r="MOQ393" s="66"/>
      <c r="MOR393" s="66"/>
      <c r="MOS393" s="66"/>
      <c r="MOT393" s="66"/>
      <c r="MOU393" s="66"/>
      <c r="MOV393" s="66"/>
      <c r="MOW393" s="66"/>
      <c r="MOX393" s="66"/>
      <c r="MOY393" s="66"/>
      <c r="MOZ393" s="66"/>
      <c r="MPA393" s="66"/>
      <c r="MPB393" s="66"/>
      <c r="MPC393" s="66"/>
      <c r="MPD393" s="66"/>
      <c r="MPE393" s="66"/>
      <c r="MPF393" s="66"/>
      <c r="MPG393" s="66"/>
      <c r="MPH393" s="66"/>
      <c r="MPI393" s="66"/>
      <c r="MPJ393" s="66"/>
      <c r="MPK393" s="66"/>
      <c r="MPL393" s="66"/>
      <c r="MPM393" s="66"/>
      <c r="MPN393" s="66"/>
      <c r="MPO393" s="66"/>
      <c r="MPP393" s="66"/>
      <c r="MPQ393" s="66"/>
      <c r="MPR393" s="66"/>
      <c r="MPS393" s="66"/>
      <c r="MPT393" s="66"/>
      <c r="MPU393" s="66"/>
      <c r="MPV393" s="66"/>
      <c r="MPW393" s="66"/>
      <c r="MPX393" s="66"/>
      <c r="MPY393" s="66"/>
      <c r="MPZ393" s="66"/>
      <c r="MQA393" s="66"/>
      <c r="MQB393" s="66"/>
      <c r="MQC393" s="66"/>
      <c r="MQD393" s="66"/>
      <c r="MQE393" s="66"/>
      <c r="MQF393" s="66"/>
      <c r="MQG393" s="66"/>
      <c r="MQH393" s="66"/>
      <c r="MQI393" s="66"/>
      <c r="MQJ393" s="66"/>
      <c r="MQK393" s="66"/>
      <c r="MQL393" s="66"/>
      <c r="MQM393" s="66"/>
      <c r="MQN393" s="66"/>
      <c r="MQO393" s="66"/>
      <c r="MQP393" s="66"/>
      <c r="MQQ393" s="66"/>
      <c r="MQR393" s="66"/>
      <c r="MQS393" s="66"/>
      <c r="MQT393" s="66"/>
      <c r="MQU393" s="66"/>
      <c r="MQV393" s="66"/>
      <c r="MQW393" s="66"/>
      <c r="MQX393" s="66"/>
      <c r="MQY393" s="66"/>
      <c r="MQZ393" s="66"/>
      <c r="MRA393" s="66"/>
      <c r="MRB393" s="66"/>
      <c r="MRC393" s="66"/>
      <c r="MRD393" s="66"/>
      <c r="MRE393" s="66"/>
      <c r="MRF393" s="66"/>
      <c r="MRG393" s="66"/>
      <c r="MRH393" s="66"/>
      <c r="MRI393" s="66"/>
      <c r="MRJ393" s="66"/>
      <c r="MRK393" s="66"/>
      <c r="MRL393" s="66"/>
      <c r="MRM393" s="66"/>
      <c r="MRN393" s="66"/>
      <c r="MRO393" s="66"/>
      <c r="MRP393" s="66"/>
      <c r="MRQ393" s="66"/>
      <c r="MRR393" s="66"/>
      <c r="MRS393" s="66"/>
      <c r="MRT393" s="66"/>
      <c r="MRU393" s="66"/>
      <c r="MRV393" s="66"/>
      <c r="MRW393" s="66"/>
      <c r="MRX393" s="66"/>
      <c r="MRY393" s="66"/>
      <c r="MRZ393" s="66"/>
      <c r="MSA393" s="66"/>
      <c r="MSB393" s="66"/>
      <c r="MSC393" s="66"/>
      <c r="MSD393" s="66"/>
      <c r="MSE393" s="66"/>
      <c r="MSF393" s="66"/>
      <c r="MSG393" s="66"/>
      <c r="MSH393" s="66"/>
      <c r="MSI393" s="66"/>
      <c r="MSJ393" s="66"/>
      <c r="MSK393" s="66"/>
      <c r="MSL393" s="66"/>
      <c r="MSM393" s="66"/>
      <c r="MSN393" s="66"/>
      <c r="MSO393" s="66"/>
      <c r="MSP393" s="66"/>
      <c r="MSQ393" s="66"/>
      <c r="MSR393" s="66"/>
      <c r="MSS393" s="66"/>
      <c r="MST393" s="66"/>
      <c r="MSU393" s="66"/>
      <c r="MSV393" s="66"/>
      <c r="MSW393" s="66"/>
      <c r="MSX393" s="66"/>
      <c r="MSY393" s="66"/>
      <c r="MSZ393" s="66"/>
      <c r="MTA393" s="66"/>
      <c r="MTB393" s="66"/>
      <c r="MTC393" s="66"/>
      <c r="MTD393" s="66"/>
      <c r="MTE393" s="66"/>
      <c r="MTF393" s="66"/>
      <c r="MTG393" s="66"/>
      <c r="MTH393" s="66"/>
      <c r="MTI393" s="66"/>
      <c r="MTJ393" s="66"/>
      <c r="MTK393" s="66"/>
      <c r="MTL393" s="66"/>
      <c r="MTM393" s="66"/>
      <c r="MTN393" s="66"/>
      <c r="MTO393" s="66"/>
      <c r="MTP393" s="66"/>
      <c r="MTQ393" s="66"/>
      <c r="MTR393" s="66"/>
      <c r="MTS393" s="66"/>
      <c r="MTT393" s="66"/>
      <c r="MTU393" s="66"/>
      <c r="MTV393" s="66"/>
      <c r="MTW393" s="66"/>
      <c r="MTX393" s="66"/>
      <c r="MTY393" s="66"/>
      <c r="MTZ393" s="66"/>
      <c r="MUA393" s="66"/>
      <c r="MUB393" s="66"/>
      <c r="MUC393" s="66"/>
      <c r="MUD393" s="66"/>
      <c r="MUE393" s="66"/>
      <c r="MUF393" s="66"/>
      <c r="MUG393" s="66"/>
      <c r="MUH393" s="66"/>
      <c r="MUI393" s="66"/>
      <c r="MUJ393" s="66"/>
      <c r="MUK393" s="66"/>
      <c r="MUL393" s="66"/>
      <c r="MUM393" s="66"/>
      <c r="MUN393" s="66"/>
      <c r="MUO393" s="66"/>
      <c r="MUP393" s="66"/>
      <c r="MUQ393" s="66"/>
      <c r="MUR393" s="66"/>
      <c r="MUS393" s="66"/>
      <c r="MUT393" s="66"/>
      <c r="MUU393" s="66"/>
      <c r="MUV393" s="66"/>
      <c r="MUW393" s="66"/>
      <c r="MUX393" s="66"/>
      <c r="MUY393" s="66"/>
      <c r="MUZ393" s="66"/>
      <c r="MVA393" s="66"/>
      <c r="MVB393" s="66"/>
      <c r="MVC393" s="66"/>
      <c r="MVD393" s="66"/>
      <c r="MVE393" s="66"/>
      <c r="MVF393" s="66"/>
      <c r="MVG393" s="66"/>
      <c r="MVH393" s="66"/>
      <c r="MVI393" s="66"/>
      <c r="MVJ393" s="66"/>
      <c r="MVK393" s="66"/>
      <c r="MVL393" s="66"/>
      <c r="MVM393" s="66"/>
      <c r="MVN393" s="66"/>
      <c r="MVO393" s="66"/>
      <c r="MVP393" s="66"/>
      <c r="MVQ393" s="66"/>
      <c r="MVR393" s="66"/>
      <c r="MVS393" s="66"/>
      <c r="MVT393" s="66"/>
      <c r="MVU393" s="66"/>
      <c r="MVV393" s="66"/>
      <c r="MVW393" s="66"/>
      <c r="MVX393" s="66"/>
      <c r="MVY393" s="66"/>
      <c r="MVZ393" s="66"/>
      <c r="MWA393" s="66"/>
      <c r="MWB393" s="66"/>
      <c r="MWC393" s="66"/>
      <c r="MWD393" s="66"/>
      <c r="MWE393" s="66"/>
      <c r="MWF393" s="66"/>
      <c r="MWG393" s="66"/>
      <c r="MWH393" s="66"/>
      <c r="MWI393" s="66"/>
      <c r="MWJ393" s="66"/>
      <c r="MWK393" s="66"/>
      <c r="MWL393" s="66"/>
      <c r="MWM393" s="66"/>
      <c r="MWN393" s="66"/>
      <c r="MWO393" s="66"/>
      <c r="MWP393" s="66"/>
      <c r="MWQ393" s="66"/>
      <c r="MWR393" s="66"/>
      <c r="MWS393" s="66"/>
      <c r="MWT393" s="66"/>
      <c r="MWU393" s="66"/>
      <c r="MWV393" s="66"/>
      <c r="MWW393" s="66"/>
      <c r="MWX393" s="66"/>
      <c r="MWY393" s="66"/>
      <c r="MWZ393" s="66"/>
      <c r="MXA393" s="66"/>
      <c r="MXB393" s="66"/>
      <c r="MXC393" s="66"/>
      <c r="MXD393" s="66"/>
      <c r="MXE393" s="66"/>
      <c r="MXF393" s="66"/>
      <c r="MXG393" s="66"/>
      <c r="MXH393" s="66"/>
      <c r="MXI393" s="66"/>
      <c r="MXJ393" s="66"/>
      <c r="MXK393" s="66"/>
      <c r="MXL393" s="66"/>
      <c r="MXM393" s="66"/>
      <c r="MXN393" s="66"/>
      <c r="MXO393" s="66"/>
      <c r="MXP393" s="66"/>
      <c r="MXQ393" s="66"/>
      <c r="MXR393" s="66"/>
      <c r="MXS393" s="66"/>
      <c r="MXT393" s="66"/>
      <c r="MXU393" s="66"/>
      <c r="MXV393" s="66"/>
      <c r="MXW393" s="66"/>
      <c r="MXX393" s="66"/>
      <c r="MXY393" s="66"/>
      <c r="MXZ393" s="66"/>
      <c r="MYA393" s="66"/>
      <c r="MYB393" s="66"/>
      <c r="MYC393" s="66"/>
      <c r="MYD393" s="66"/>
      <c r="MYE393" s="66"/>
      <c r="MYF393" s="66"/>
      <c r="MYG393" s="66"/>
      <c r="MYH393" s="66"/>
      <c r="MYI393" s="66"/>
      <c r="MYJ393" s="66"/>
      <c r="MYK393" s="66"/>
      <c r="MYL393" s="66"/>
      <c r="MYM393" s="66"/>
      <c r="MYN393" s="66"/>
      <c r="MYO393" s="66"/>
      <c r="MYP393" s="66"/>
      <c r="MYQ393" s="66"/>
      <c r="MYR393" s="66"/>
      <c r="MYS393" s="66"/>
      <c r="MYT393" s="66"/>
      <c r="MYU393" s="66"/>
      <c r="MYV393" s="66"/>
      <c r="MYW393" s="66"/>
      <c r="MYX393" s="66"/>
      <c r="MYY393" s="66"/>
      <c r="MYZ393" s="66"/>
      <c r="MZA393" s="66"/>
      <c r="MZB393" s="66"/>
      <c r="MZC393" s="66"/>
      <c r="MZD393" s="66"/>
      <c r="MZE393" s="66"/>
      <c r="MZF393" s="66"/>
      <c r="MZG393" s="66"/>
      <c r="MZH393" s="66"/>
      <c r="MZI393" s="66"/>
      <c r="MZJ393" s="66"/>
      <c r="MZK393" s="66"/>
      <c r="MZL393" s="66"/>
      <c r="MZM393" s="66"/>
      <c r="MZN393" s="66"/>
      <c r="MZO393" s="66"/>
      <c r="MZP393" s="66"/>
      <c r="MZQ393" s="66"/>
      <c r="MZR393" s="66"/>
      <c r="MZS393" s="66"/>
      <c r="MZT393" s="66"/>
      <c r="MZU393" s="66"/>
      <c r="MZV393" s="66"/>
      <c r="MZW393" s="66"/>
      <c r="MZX393" s="66"/>
      <c r="MZY393" s="66"/>
      <c r="MZZ393" s="66"/>
      <c r="NAA393" s="66"/>
      <c r="NAB393" s="66"/>
      <c r="NAC393" s="66"/>
      <c r="NAD393" s="66"/>
      <c r="NAE393" s="66"/>
      <c r="NAF393" s="66"/>
      <c r="NAG393" s="66"/>
      <c r="NAH393" s="66"/>
      <c r="NAI393" s="66"/>
      <c r="NAJ393" s="66"/>
      <c r="NAK393" s="66"/>
      <c r="NAL393" s="66"/>
      <c r="NAM393" s="66"/>
      <c r="NAN393" s="66"/>
      <c r="NAO393" s="66"/>
      <c r="NAP393" s="66"/>
      <c r="NAQ393" s="66"/>
      <c r="NAR393" s="66"/>
      <c r="NAS393" s="66"/>
      <c r="NAT393" s="66"/>
      <c r="NAU393" s="66"/>
      <c r="NAV393" s="66"/>
      <c r="NAW393" s="66"/>
      <c r="NAX393" s="66"/>
      <c r="NAY393" s="66"/>
      <c r="NAZ393" s="66"/>
      <c r="NBA393" s="66"/>
      <c r="NBB393" s="66"/>
      <c r="NBC393" s="66"/>
      <c r="NBD393" s="66"/>
      <c r="NBE393" s="66"/>
      <c r="NBF393" s="66"/>
      <c r="NBG393" s="66"/>
      <c r="NBH393" s="66"/>
      <c r="NBI393" s="66"/>
      <c r="NBJ393" s="66"/>
      <c r="NBK393" s="66"/>
      <c r="NBL393" s="66"/>
      <c r="NBM393" s="66"/>
      <c r="NBN393" s="66"/>
      <c r="NBO393" s="66"/>
      <c r="NBP393" s="66"/>
      <c r="NBQ393" s="66"/>
      <c r="NBR393" s="66"/>
      <c r="NBS393" s="66"/>
      <c r="NBT393" s="66"/>
      <c r="NBU393" s="66"/>
      <c r="NBV393" s="66"/>
      <c r="NBW393" s="66"/>
      <c r="NBX393" s="66"/>
      <c r="NBY393" s="66"/>
      <c r="NBZ393" s="66"/>
      <c r="NCA393" s="66"/>
      <c r="NCB393" s="66"/>
      <c r="NCC393" s="66"/>
      <c r="NCD393" s="66"/>
      <c r="NCE393" s="66"/>
      <c r="NCF393" s="66"/>
      <c r="NCG393" s="66"/>
      <c r="NCH393" s="66"/>
      <c r="NCI393" s="66"/>
      <c r="NCJ393" s="66"/>
      <c r="NCK393" s="66"/>
      <c r="NCL393" s="66"/>
      <c r="NCM393" s="66"/>
      <c r="NCN393" s="66"/>
      <c r="NCO393" s="66"/>
      <c r="NCP393" s="66"/>
      <c r="NCQ393" s="66"/>
      <c r="NCR393" s="66"/>
      <c r="NCS393" s="66"/>
      <c r="NCT393" s="66"/>
      <c r="NCU393" s="66"/>
      <c r="NCV393" s="66"/>
      <c r="NCW393" s="66"/>
      <c r="NCX393" s="66"/>
      <c r="NCY393" s="66"/>
      <c r="NCZ393" s="66"/>
      <c r="NDA393" s="66"/>
      <c r="NDB393" s="66"/>
      <c r="NDC393" s="66"/>
      <c r="NDD393" s="66"/>
      <c r="NDE393" s="66"/>
      <c r="NDF393" s="66"/>
      <c r="NDG393" s="66"/>
      <c r="NDH393" s="66"/>
      <c r="NDI393" s="66"/>
      <c r="NDJ393" s="66"/>
      <c r="NDK393" s="66"/>
      <c r="NDL393" s="66"/>
      <c r="NDM393" s="66"/>
      <c r="NDN393" s="66"/>
      <c r="NDO393" s="66"/>
      <c r="NDP393" s="66"/>
      <c r="NDQ393" s="66"/>
      <c r="NDR393" s="66"/>
      <c r="NDS393" s="66"/>
      <c r="NDT393" s="66"/>
      <c r="NDU393" s="66"/>
      <c r="NDV393" s="66"/>
      <c r="NDW393" s="66"/>
      <c r="NDX393" s="66"/>
      <c r="NDY393" s="66"/>
      <c r="NDZ393" s="66"/>
      <c r="NEA393" s="66"/>
      <c r="NEB393" s="66"/>
      <c r="NEC393" s="66"/>
      <c r="NED393" s="66"/>
      <c r="NEE393" s="66"/>
      <c r="NEF393" s="66"/>
      <c r="NEG393" s="66"/>
      <c r="NEH393" s="66"/>
      <c r="NEI393" s="66"/>
      <c r="NEJ393" s="66"/>
      <c r="NEK393" s="66"/>
      <c r="NEL393" s="66"/>
      <c r="NEM393" s="66"/>
      <c r="NEN393" s="66"/>
      <c r="NEO393" s="66"/>
      <c r="NEP393" s="66"/>
      <c r="NEQ393" s="66"/>
      <c r="NER393" s="66"/>
      <c r="NES393" s="66"/>
      <c r="NET393" s="66"/>
      <c r="NEU393" s="66"/>
      <c r="NEV393" s="66"/>
      <c r="NEW393" s="66"/>
      <c r="NEX393" s="66"/>
      <c r="NEY393" s="66"/>
      <c r="NEZ393" s="66"/>
      <c r="NFA393" s="66"/>
      <c r="NFB393" s="66"/>
      <c r="NFC393" s="66"/>
      <c r="NFD393" s="66"/>
      <c r="NFE393" s="66"/>
      <c r="NFF393" s="66"/>
      <c r="NFG393" s="66"/>
      <c r="NFH393" s="66"/>
      <c r="NFI393" s="66"/>
      <c r="NFJ393" s="66"/>
      <c r="NFK393" s="66"/>
      <c r="NFL393" s="66"/>
      <c r="NFM393" s="66"/>
      <c r="NFN393" s="66"/>
      <c r="NFO393" s="66"/>
      <c r="NFP393" s="66"/>
      <c r="NFQ393" s="66"/>
      <c r="NFR393" s="66"/>
      <c r="NFS393" s="66"/>
      <c r="NFT393" s="66"/>
      <c r="NFU393" s="66"/>
      <c r="NFV393" s="66"/>
      <c r="NFW393" s="66"/>
      <c r="NFX393" s="66"/>
      <c r="NFY393" s="66"/>
      <c r="NFZ393" s="66"/>
      <c r="NGA393" s="66"/>
      <c r="NGB393" s="66"/>
      <c r="NGC393" s="66"/>
      <c r="NGD393" s="66"/>
      <c r="NGE393" s="66"/>
      <c r="NGF393" s="66"/>
      <c r="NGG393" s="66"/>
      <c r="NGH393" s="66"/>
      <c r="NGI393" s="66"/>
      <c r="NGJ393" s="66"/>
      <c r="NGK393" s="66"/>
      <c r="NGL393" s="66"/>
      <c r="NGM393" s="66"/>
      <c r="NGN393" s="66"/>
      <c r="NGO393" s="66"/>
      <c r="NGP393" s="66"/>
      <c r="NGQ393" s="66"/>
      <c r="NGR393" s="66"/>
      <c r="NGS393" s="66"/>
      <c r="NGT393" s="66"/>
      <c r="NGU393" s="66"/>
      <c r="NGV393" s="66"/>
      <c r="NGW393" s="66"/>
      <c r="NGX393" s="66"/>
      <c r="NGY393" s="66"/>
      <c r="NGZ393" s="66"/>
      <c r="NHA393" s="66"/>
      <c r="NHB393" s="66"/>
      <c r="NHC393" s="66"/>
      <c r="NHD393" s="66"/>
      <c r="NHE393" s="66"/>
      <c r="NHF393" s="66"/>
      <c r="NHG393" s="66"/>
      <c r="NHH393" s="66"/>
      <c r="NHI393" s="66"/>
      <c r="NHJ393" s="66"/>
      <c r="NHK393" s="66"/>
      <c r="NHL393" s="66"/>
      <c r="NHM393" s="66"/>
      <c r="NHN393" s="66"/>
      <c r="NHO393" s="66"/>
      <c r="NHP393" s="66"/>
      <c r="NHQ393" s="66"/>
      <c r="NHR393" s="66"/>
      <c r="NHS393" s="66"/>
      <c r="NHT393" s="66"/>
      <c r="NHU393" s="66"/>
      <c r="NHV393" s="66"/>
      <c r="NHW393" s="66"/>
      <c r="NHX393" s="66"/>
      <c r="NHY393" s="66"/>
      <c r="NHZ393" s="66"/>
      <c r="NIA393" s="66"/>
      <c r="NIB393" s="66"/>
      <c r="NIC393" s="66"/>
      <c r="NID393" s="66"/>
      <c r="NIE393" s="66"/>
      <c r="NIF393" s="66"/>
      <c r="NIG393" s="66"/>
      <c r="NIH393" s="66"/>
      <c r="NII393" s="66"/>
      <c r="NIJ393" s="66"/>
      <c r="NIK393" s="66"/>
      <c r="NIL393" s="66"/>
      <c r="NIM393" s="66"/>
      <c r="NIN393" s="66"/>
      <c r="NIO393" s="66"/>
      <c r="NIP393" s="66"/>
      <c r="NIQ393" s="66"/>
      <c r="NIR393" s="66"/>
      <c r="NIS393" s="66"/>
      <c r="NIT393" s="66"/>
      <c r="NIU393" s="66"/>
      <c r="NIV393" s="66"/>
      <c r="NIW393" s="66"/>
      <c r="NIX393" s="66"/>
      <c r="NIY393" s="66"/>
      <c r="NIZ393" s="66"/>
      <c r="NJA393" s="66"/>
      <c r="NJB393" s="66"/>
      <c r="NJC393" s="66"/>
      <c r="NJD393" s="66"/>
      <c r="NJE393" s="66"/>
      <c r="NJF393" s="66"/>
      <c r="NJG393" s="66"/>
      <c r="NJH393" s="66"/>
      <c r="NJI393" s="66"/>
      <c r="NJJ393" s="66"/>
      <c r="NJK393" s="66"/>
      <c r="NJL393" s="66"/>
      <c r="NJM393" s="66"/>
      <c r="NJN393" s="66"/>
      <c r="NJO393" s="66"/>
      <c r="NJP393" s="66"/>
      <c r="NJQ393" s="66"/>
      <c r="NJR393" s="66"/>
      <c r="NJS393" s="66"/>
      <c r="NJT393" s="66"/>
      <c r="NJU393" s="66"/>
      <c r="NJV393" s="66"/>
      <c r="NJW393" s="66"/>
      <c r="NJX393" s="66"/>
      <c r="NJY393" s="66"/>
      <c r="NJZ393" s="66"/>
      <c r="NKA393" s="66"/>
      <c r="NKB393" s="66"/>
      <c r="NKC393" s="66"/>
      <c r="NKD393" s="66"/>
      <c r="NKE393" s="66"/>
      <c r="NKF393" s="66"/>
      <c r="NKG393" s="66"/>
      <c r="NKH393" s="66"/>
      <c r="NKI393" s="66"/>
      <c r="NKJ393" s="66"/>
      <c r="NKK393" s="66"/>
      <c r="NKL393" s="66"/>
      <c r="NKM393" s="66"/>
      <c r="NKN393" s="66"/>
      <c r="NKO393" s="66"/>
      <c r="NKP393" s="66"/>
      <c r="NKQ393" s="66"/>
      <c r="NKR393" s="66"/>
      <c r="NKS393" s="66"/>
      <c r="NKT393" s="66"/>
      <c r="NKU393" s="66"/>
      <c r="NKV393" s="66"/>
      <c r="NKW393" s="66"/>
      <c r="NKX393" s="66"/>
      <c r="NKY393" s="66"/>
      <c r="NKZ393" s="66"/>
      <c r="NLA393" s="66"/>
      <c r="NLB393" s="66"/>
      <c r="NLC393" s="66"/>
      <c r="NLD393" s="66"/>
      <c r="NLE393" s="66"/>
      <c r="NLF393" s="66"/>
      <c r="NLG393" s="66"/>
      <c r="NLH393" s="66"/>
      <c r="NLI393" s="66"/>
      <c r="NLJ393" s="66"/>
      <c r="NLK393" s="66"/>
      <c r="NLL393" s="66"/>
      <c r="NLM393" s="66"/>
      <c r="NLN393" s="66"/>
      <c r="NLO393" s="66"/>
      <c r="NLP393" s="66"/>
      <c r="NLQ393" s="66"/>
      <c r="NLR393" s="66"/>
      <c r="NLS393" s="66"/>
      <c r="NLT393" s="66"/>
      <c r="NLU393" s="66"/>
      <c r="NLV393" s="66"/>
      <c r="NLW393" s="66"/>
      <c r="NLX393" s="66"/>
      <c r="NLY393" s="66"/>
      <c r="NLZ393" s="66"/>
      <c r="NMA393" s="66"/>
      <c r="NMB393" s="66"/>
      <c r="NMC393" s="66"/>
      <c r="NMD393" s="66"/>
      <c r="NME393" s="66"/>
      <c r="NMF393" s="66"/>
      <c r="NMG393" s="66"/>
      <c r="NMH393" s="66"/>
      <c r="NMI393" s="66"/>
      <c r="NMJ393" s="66"/>
      <c r="NMK393" s="66"/>
      <c r="NML393" s="66"/>
      <c r="NMM393" s="66"/>
      <c r="NMN393" s="66"/>
      <c r="NMO393" s="66"/>
      <c r="NMP393" s="66"/>
      <c r="NMQ393" s="66"/>
      <c r="NMR393" s="66"/>
      <c r="NMS393" s="66"/>
      <c r="NMT393" s="66"/>
      <c r="NMU393" s="66"/>
      <c r="NMV393" s="66"/>
      <c r="NMW393" s="66"/>
      <c r="NMX393" s="66"/>
      <c r="NMY393" s="66"/>
      <c r="NMZ393" s="66"/>
      <c r="NNA393" s="66"/>
      <c r="NNB393" s="66"/>
      <c r="NNC393" s="66"/>
      <c r="NND393" s="66"/>
      <c r="NNE393" s="66"/>
      <c r="NNF393" s="66"/>
      <c r="NNG393" s="66"/>
      <c r="NNH393" s="66"/>
      <c r="NNI393" s="66"/>
      <c r="NNJ393" s="66"/>
      <c r="NNK393" s="66"/>
      <c r="NNL393" s="66"/>
      <c r="NNM393" s="66"/>
      <c r="NNN393" s="66"/>
      <c r="NNO393" s="66"/>
      <c r="NNP393" s="66"/>
      <c r="NNQ393" s="66"/>
      <c r="NNR393" s="66"/>
      <c r="NNS393" s="66"/>
      <c r="NNT393" s="66"/>
      <c r="NNU393" s="66"/>
      <c r="NNV393" s="66"/>
      <c r="NNW393" s="66"/>
      <c r="NNX393" s="66"/>
      <c r="NNY393" s="66"/>
      <c r="NNZ393" s="66"/>
      <c r="NOA393" s="66"/>
      <c r="NOB393" s="66"/>
      <c r="NOC393" s="66"/>
      <c r="NOD393" s="66"/>
      <c r="NOE393" s="66"/>
      <c r="NOF393" s="66"/>
      <c r="NOG393" s="66"/>
      <c r="NOH393" s="66"/>
      <c r="NOI393" s="66"/>
      <c r="NOJ393" s="66"/>
      <c r="NOK393" s="66"/>
      <c r="NOL393" s="66"/>
      <c r="NOM393" s="66"/>
      <c r="NON393" s="66"/>
      <c r="NOO393" s="66"/>
      <c r="NOP393" s="66"/>
      <c r="NOQ393" s="66"/>
      <c r="NOR393" s="66"/>
      <c r="NOS393" s="66"/>
      <c r="NOT393" s="66"/>
      <c r="NOU393" s="66"/>
      <c r="NOV393" s="66"/>
      <c r="NOW393" s="66"/>
      <c r="NOX393" s="66"/>
      <c r="NOY393" s="66"/>
      <c r="NOZ393" s="66"/>
      <c r="NPA393" s="66"/>
      <c r="NPB393" s="66"/>
      <c r="NPC393" s="66"/>
      <c r="NPD393" s="66"/>
      <c r="NPE393" s="66"/>
      <c r="NPF393" s="66"/>
      <c r="NPG393" s="66"/>
      <c r="NPH393" s="66"/>
      <c r="NPI393" s="66"/>
      <c r="NPJ393" s="66"/>
      <c r="NPK393" s="66"/>
      <c r="NPL393" s="66"/>
      <c r="NPM393" s="66"/>
      <c r="NPN393" s="66"/>
      <c r="NPO393" s="66"/>
      <c r="NPP393" s="66"/>
      <c r="NPQ393" s="66"/>
      <c r="NPR393" s="66"/>
      <c r="NPS393" s="66"/>
      <c r="NPT393" s="66"/>
      <c r="NPU393" s="66"/>
      <c r="NPV393" s="66"/>
      <c r="NPW393" s="66"/>
      <c r="NPX393" s="66"/>
      <c r="NPY393" s="66"/>
      <c r="NPZ393" s="66"/>
      <c r="NQA393" s="66"/>
      <c r="NQB393" s="66"/>
      <c r="NQC393" s="66"/>
      <c r="NQD393" s="66"/>
      <c r="NQE393" s="66"/>
      <c r="NQF393" s="66"/>
      <c r="NQG393" s="66"/>
      <c r="NQH393" s="66"/>
      <c r="NQI393" s="66"/>
      <c r="NQJ393" s="66"/>
      <c r="NQK393" s="66"/>
      <c r="NQL393" s="66"/>
      <c r="NQM393" s="66"/>
      <c r="NQN393" s="66"/>
      <c r="NQO393" s="66"/>
      <c r="NQP393" s="66"/>
      <c r="NQQ393" s="66"/>
      <c r="NQR393" s="66"/>
      <c r="NQS393" s="66"/>
      <c r="NQT393" s="66"/>
      <c r="NQU393" s="66"/>
      <c r="NQV393" s="66"/>
      <c r="NQW393" s="66"/>
      <c r="NQX393" s="66"/>
      <c r="NQY393" s="66"/>
      <c r="NQZ393" s="66"/>
      <c r="NRA393" s="66"/>
      <c r="NRB393" s="66"/>
      <c r="NRC393" s="66"/>
      <c r="NRD393" s="66"/>
      <c r="NRE393" s="66"/>
      <c r="NRF393" s="66"/>
      <c r="NRG393" s="66"/>
      <c r="NRH393" s="66"/>
      <c r="NRI393" s="66"/>
      <c r="NRJ393" s="66"/>
      <c r="NRK393" s="66"/>
      <c r="NRL393" s="66"/>
      <c r="NRM393" s="66"/>
      <c r="NRN393" s="66"/>
      <c r="NRO393" s="66"/>
      <c r="NRP393" s="66"/>
      <c r="NRQ393" s="66"/>
      <c r="NRR393" s="66"/>
      <c r="NRS393" s="66"/>
      <c r="NRT393" s="66"/>
      <c r="NRU393" s="66"/>
      <c r="NRV393" s="66"/>
      <c r="NRW393" s="66"/>
      <c r="NRX393" s="66"/>
      <c r="NRY393" s="66"/>
      <c r="NRZ393" s="66"/>
      <c r="NSA393" s="66"/>
      <c r="NSB393" s="66"/>
      <c r="NSC393" s="66"/>
      <c r="NSD393" s="66"/>
      <c r="NSE393" s="66"/>
      <c r="NSF393" s="66"/>
      <c r="NSG393" s="66"/>
      <c r="NSH393" s="66"/>
      <c r="NSI393" s="66"/>
      <c r="NSJ393" s="66"/>
      <c r="NSK393" s="66"/>
      <c r="NSL393" s="66"/>
      <c r="NSM393" s="66"/>
      <c r="NSN393" s="66"/>
      <c r="NSO393" s="66"/>
      <c r="NSP393" s="66"/>
      <c r="NSQ393" s="66"/>
      <c r="NSR393" s="66"/>
      <c r="NSS393" s="66"/>
      <c r="NST393" s="66"/>
      <c r="NSU393" s="66"/>
      <c r="NSV393" s="66"/>
      <c r="NSW393" s="66"/>
      <c r="NSX393" s="66"/>
      <c r="NSY393" s="66"/>
      <c r="NSZ393" s="66"/>
      <c r="NTA393" s="66"/>
      <c r="NTB393" s="66"/>
      <c r="NTC393" s="66"/>
      <c r="NTD393" s="66"/>
      <c r="NTE393" s="66"/>
      <c r="NTF393" s="66"/>
      <c r="NTG393" s="66"/>
      <c r="NTH393" s="66"/>
      <c r="NTI393" s="66"/>
      <c r="NTJ393" s="66"/>
      <c r="NTK393" s="66"/>
      <c r="NTL393" s="66"/>
      <c r="NTM393" s="66"/>
      <c r="NTN393" s="66"/>
      <c r="NTO393" s="66"/>
      <c r="NTP393" s="66"/>
      <c r="NTQ393" s="66"/>
      <c r="NTR393" s="66"/>
      <c r="NTS393" s="66"/>
      <c r="NTT393" s="66"/>
      <c r="NTU393" s="66"/>
      <c r="NTV393" s="66"/>
      <c r="NTW393" s="66"/>
      <c r="NTX393" s="66"/>
      <c r="NTY393" s="66"/>
      <c r="NTZ393" s="66"/>
      <c r="NUA393" s="66"/>
      <c r="NUB393" s="66"/>
      <c r="NUC393" s="66"/>
      <c r="NUD393" s="66"/>
      <c r="NUE393" s="66"/>
      <c r="NUF393" s="66"/>
      <c r="NUG393" s="66"/>
      <c r="NUH393" s="66"/>
      <c r="NUI393" s="66"/>
      <c r="NUJ393" s="66"/>
      <c r="NUK393" s="66"/>
      <c r="NUL393" s="66"/>
      <c r="NUM393" s="66"/>
      <c r="NUN393" s="66"/>
      <c r="NUO393" s="66"/>
      <c r="NUP393" s="66"/>
      <c r="NUQ393" s="66"/>
      <c r="NUR393" s="66"/>
      <c r="NUS393" s="66"/>
      <c r="NUT393" s="66"/>
      <c r="NUU393" s="66"/>
      <c r="NUV393" s="66"/>
      <c r="NUW393" s="66"/>
      <c r="NUX393" s="66"/>
      <c r="NUY393" s="66"/>
      <c r="NUZ393" s="66"/>
      <c r="NVA393" s="66"/>
      <c r="NVB393" s="66"/>
      <c r="NVC393" s="66"/>
      <c r="NVD393" s="66"/>
      <c r="NVE393" s="66"/>
      <c r="NVF393" s="66"/>
      <c r="NVG393" s="66"/>
      <c r="NVH393" s="66"/>
      <c r="NVI393" s="66"/>
      <c r="NVJ393" s="66"/>
      <c r="NVK393" s="66"/>
      <c r="NVL393" s="66"/>
      <c r="NVM393" s="66"/>
      <c r="NVN393" s="66"/>
      <c r="NVO393" s="66"/>
      <c r="NVP393" s="66"/>
      <c r="NVQ393" s="66"/>
      <c r="NVR393" s="66"/>
      <c r="NVS393" s="66"/>
      <c r="NVT393" s="66"/>
      <c r="NVU393" s="66"/>
      <c r="NVV393" s="66"/>
      <c r="NVW393" s="66"/>
      <c r="NVX393" s="66"/>
      <c r="NVY393" s="66"/>
      <c r="NVZ393" s="66"/>
      <c r="NWA393" s="66"/>
      <c r="NWB393" s="66"/>
      <c r="NWC393" s="66"/>
      <c r="NWD393" s="66"/>
      <c r="NWE393" s="66"/>
      <c r="NWF393" s="66"/>
      <c r="NWG393" s="66"/>
      <c r="NWH393" s="66"/>
      <c r="NWI393" s="66"/>
      <c r="NWJ393" s="66"/>
      <c r="NWK393" s="66"/>
      <c r="NWL393" s="66"/>
      <c r="NWM393" s="66"/>
      <c r="NWN393" s="66"/>
      <c r="NWO393" s="66"/>
      <c r="NWP393" s="66"/>
      <c r="NWQ393" s="66"/>
      <c r="NWR393" s="66"/>
      <c r="NWS393" s="66"/>
      <c r="NWT393" s="66"/>
      <c r="NWU393" s="66"/>
      <c r="NWV393" s="66"/>
      <c r="NWW393" s="66"/>
      <c r="NWX393" s="66"/>
      <c r="NWY393" s="66"/>
      <c r="NWZ393" s="66"/>
      <c r="NXA393" s="66"/>
      <c r="NXB393" s="66"/>
      <c r="NXC393" s="66"/>
      <c r="NXD393" s="66"/>
      <c r="NXE393" s="66"/>
      <c r="NXF393" s="66"/>
      <c r="NXG393" s="66"/>
      <c r="NXH393" s="66"/>
      <c r="NXI393" s="66"/>
      <c r="NXJ393" s="66"/>
      <c r="NXK393" s="66"/>
      <c r="NXL393" s="66"/>
      <c r="NXM393" s="66"/>
      <c r="NXN393" s="66"/>
      <c r="NXO393" s="66"/>
      <c r="NXP393" s="66"/>
      <c r="NXQ393" s="66"/>
      <c r="NXR393" s="66"/>
      <c r="NXS393" s="66"/>
      <c r="NXT393" s="66"/>
      <c r="NXU393" s="66"/>
      <c r="NXV393" s="66"/>
      <c r="NXW393" s="66"/>
      <c r="NXX393" s="66"/>
      <c r="NXY393" s="66"/>
      <c r="NXZ393" s="66"/>
      <c r="NYA393" s="66"/>
      <c r="NYB393" s="66"/>
      <c r="NYC393" s="66"/>
      <c r="NYD393" s="66"/>
      <c r="NYE393" s="66"/>
      <c r="NYF393" s="66"/>
      <c r="NYG393" s="66"/>
      <c r="NYH393" s="66"/>
      <c r="NYI393" s="66"/>
      <c r="NYJ393" s="66"/>
      <c r="NYK393" s="66"/>
      <c r="NYL393" s="66"/>
      <c r="NYM393" s="66"/>
      <c r="NYN393" s="66"/>
      <c r="NYO393" s="66"/>
      <c r="NYP393" s="66"/>
      <c r="NYQ393" s="66"/>
      <c r="NYR393" s="66"/>
      <c r="NYS393" s="66"/>
      <c r="NYT393" s="66"/>
      <c r="NYU393" s="66"/>
      <c r="NYV393" s="66"/>
      <c r="NYW393" s="66"/>
      <c r="NYX393" s="66"/>
      <c r="NYY393" s="66"/>
      <c r="NYZ393" s="66"/>
      <c r="NZA393" s="66"/>
      <c r="NZB393" s="66"/>
      <c r="NZC393" s="66"/>
      <c r="NZD393" s="66"/>
      <c r="NZE393" s="66"/>
      <c r="NZF393" s="66"/>
      <c r="NZG393" s="66"/>
      <c r="NZH393" s="66"/>
      <c r="NZI393" s="66"/>
      <c r="NZJ393" s="66"/>
      <c r="NZK393" s="66"/>
      <c r="NZL393" s="66"/>
      <c r="NZM393" s="66"/>
      <c r="NZN393" s="66"/>
      <c r="NZO393" s="66"/>
      <c r="NZP393" s="66"/>
      <c r="NZQ393" s="66"/>
      <c r="NZR393" s="66"/>
      <c r="NZS393" s="66"/>
      <c r="NZT393" s="66"/>
      <c r="NZU393" s="66"/>
      <c r="NZV393" s="66"/>
      <c r="NZW393" s="66"/>
      <c r="NZX393" s="66"/>
      <c r="NZY393" s="66"/>
      <c r="NZZ393" s="66"/>
      <c r="OAA393" s="66"/>
      <c r="OAB393" s="66"/>
      <c r="OAC393" s="66"/>
      <c r="OAD393" s="66"/>
      <c r="OAE393" s="66"/>
      <c r="OAF393" s="66"/>
      <c r="OAG393" s="66"/>
      <c r="OAH393" s="66"/>
      <c r="OAI393" s="66"/>
      <c r="OAJ393" s="66"/>
      <c r="OAK393" s="66"/>
      <c r="OAL393" s="66"/>
      <c r="OAM393" s="66"/>
      <c r="OAN393" s="66"/>
      <c r="OAO393" s="66"/>
      <c r="OAP393" s="66"/>
      <c r="OAQ393" s="66"/>
      <c r="OAR393" s="66"/>
      <c r="OAS393" s="66"/>
      <c r="OAT393" s="66"/>
      <c r="OAU393" s="66"/>
      <c r="OAV393" s="66"/>
      <c r="OAW393" s="66"/>
      <c r="OAX393" s="66"/>
      <c r="OAY393" s="66"/>
      <c r="OAZ393" s="66"/>
      <c r="OBA393" s="66"/>
      <c r="OBB393" s="66"/>
      <c r="OBC393" s="66"/>
      <c r="OBD393" s="66"/>
      <c r="OBE393" s="66"/>
      <c r="OBF393" s="66"/>
      <c r="OBG393" s="66"/>
      <c r="OBH393" s="66"/>
      <c r="OBI393" s="66"/>
      <c r="OBJ393" s="66"/>
      <c r="OBK393" s="66"/>
      <c r="OBL393" s="66"/>
      <c r="OBM393" s="66"/>
      <c r="OBN393" s="66"/>
      <c r="OBO393" s="66"/>
      <c r="OBP393" s="66"/>
      <c r="OBQ393" s="66"/>
      <c r="OBR393" s="66"/>
      <c r="OBS393" s="66"/>
      <c r="OBT393" s="66"/>
      <c r="OBU393" s="66"/>
      <c r="OBV393" s="66"/>
      <c r="OBW393" s="66"/>
      <c r="OBX393" s="66"/>
      <c r="OBY393" s="66"/>
      <c r="OBZ393" s="66"/>
      <c r="OCA393" s="66"/>
      <c r="OCB393" s="66"/>
      <c r="OCC393" s="66"/>
      <c r="OCD393" s="66"/>
      <c r="OCE393" s="66"/>
      <c r="OCF393" s="66"/>
      <c r="OCG393" s="66"/>
      <c r="OCH393" s="66"/>
      <c r="OCI393" s="66"/>
      <c r="OCJ393" s="66"/>
      <c r="OCK393" s="66"/>
      <c r="OCL393" s="66"/>
      <c r="OCM393" s="66"/>
      <c r="OCN393" s="66"/>
      <c r="OCO393" s="66"/>
      <c r="OCP393" s="66"/>
      <c r="OCQ393" s="66"/>
      <c r="OCR393" s="66"/>
      <c r="OCS393" s="66"/>
      <c r="OCT393" s="66"/>
      <c r="OCU393" s="66"/>
      <c r="OCV393" s="66"/>
      <c r="OCW393" s="66"/>
      <c r="OCX393" s="66"/>
      <c r="OCY393" s="66"/>
      <c r="OCZ393" s="66"/>
      <c r="ODA393" s="66"/>
      <c r="ODB393" s="66"/>
      <c r="ODC393" s="66"/>
      <c r="ODD393" s="66"/>
      <c r="ODE393" s="66"/>
      <c r="ODF393" s="66"/>
      <c r="ODG393" s="66"/>
      <c r="ODH393" s="66"/>
      <c r="ODI393" s="66"/>
      <c r="ODJ393" s="66"/>
      <c r="ODK393" s="66"/>
      <c r="ODL393" s="66"/>
      <c r="ODM393" s="66"/>
      <c r="ODN393" s="66"/>
      <c r="ODO393" s="66"/>
      <c r="ODP393" s="66"/>
      <c r="ODQ393" s="66"/>
      <c r="ODR393" s="66"/>
      <c r="ODS393" s="66"/>
      <c r="ODT393" s="66"/>
      <c r="ODU393" s="66"/>
      <c r="ODV393" s="66"/>
      <c r="ODW393" s="66"/>
      <c r="ODX393" s="66"/>
      <c r="ODY393" s="66"/>
      <c r="ODZ393" s="66"/>
      <c r="OEA393" s="66"/>
      <c r="OEB393" s="66"/>
      <c r="OEC393" s="66"/>
      <c r="OED393" s="66"/>
      <c r="OEE393" s="66"/>
      <c r="OEF393" s="66"/>
      <c r="OEG393" s="66"/>
      <c r="OEH393" s="66"/>
      <c r="OEI393" s="66"/>
      <c r="OEJ393" s="66"/>
      <c r="OEK393" s="66"/>
      <c r="OEL393" s="66"/>
      <c r="OEM393" s="66"/>
      <c r="OEN393" s="66"/>
      <c r="OEO393" s="66"/>
      <c r="OEP393" s="66"/>
      <c r="OEQ393" s="66"/>
      <c r="OER393" s="66"/>
      <c r="OES393" s="66"/>
      <c r="OET393" s="66"/>
      <c r="OEU393" s="66"/>
      <c r="OEV393" s="66"/>
      <c r="OEW393" s="66"/>
      <c r="OEX393" s="66"/>
      <c r="OEY393" s="66"/>
      <c r="OEZ393" s="66"/>
      <c r="OFA393" s="66"/>
      <c r="OFB393" s="66"/>
      <c r="OFC393" s="66"/>
      <c r="OFD393" s="66"/>
      <c r="OFE393" s="66"/>
      <c r="OFF393" s="66"/>
      <c r="OFG393" s="66"/>
      <c r="OFH393" s="66"/>
      <c r="OFI393" s="66"/>
      <c r="OFJ393" s="66"/>
      <c r="OFK393" s="66"/>
      <c r="OFL393" s="66"/>
      <c r="OFM393" s="66"/>
      <c r="OFN393" s="66"/>
      <c r="OFO393" s="66"/>
      <c r="OFP393" s="66"/>
      <c r="OFQ393" s="66"/>
      <c r="OFR393" s="66"/>
      <c r="OFS393" s="66"/>
      <c r="OFT393" s="66"/>
      <c r="OFU393" s="66"/>
      <c r="OFV393" s="66"/>
      <c r="OFW393" s="66"/>
      <c r="OFX393" s="66"/>
      <c r="OFY393" s="66"/>
      <c r="OFZ393" s="66"/>
      <c r="OGA393" s="66"/>
      <c r="OGB393" s="66"/>
      <c r="OGC393" s="66"/>
      <c r="OGD393" s="66"/>
      <c r="OGE393" s="66"/>
      <c r="OGF393" s="66"/>
      <c r="OGG393" s="66"/>
      <c r="OGH393" s="66"/>
      <c r="OGI393" s="66"/>
      <c r="OGJ393" s="66"/>
      <c r="OGK393" s="66"/>
      <c r="OGL393" s="66"/>
      <c r="OGM393" s="66"/>
      <c r="OGN393" s="66"/>
      <c r="OGO393" s="66"/>
      <c r="OGP393" s="66"/>
      <c r="OGQ393" s="66"/>
      <c r="OGR393" s="66"/>
      <c r="OGS393" s="66"/>
      <c r="OGT393" s="66"/>
      <c r="OGU393" s="66"/>
      <c r="OGV393" s="66"/>
      <c r="OGW393" s="66"/>
      <c r="OGX393" s="66"/>
      <c r="OGY393" s="66"/>
      <c r="OGZ393" s="66"/>
      <c r="OHA393" s="66"/>
      <c r="OHB393" s="66"/>
      <c r="OHC393" s="66"/>
      <c r="OHD393" s="66"/>
      <c r="OHE393" s="66"/>
      <c r="OHF393" s="66"/>
      <c r="OHG393" s="66"/>
      <c r="OHH393" s="66"/>
      <c r="OHI393" s="66"/>
      <c r="OHJ393" s="66"/>
      <c r="OHK393" s="66"/>
      <c r="OHL393" s="66"/>
      <c r="OHM393" s="66"/>
      <c r="OHN393" s="66"/>
      <c r="OHO393" s="66"/>
      <c r="OHP393" s="66"/>
      <c r="OHQ393" s="66"/>
      <c r="OHR393" s="66"/>
      <c r="OHS393" s="66"/>
      <c r="OHT393" s="66"/>
      <c r="OHU393" s="66"/>
      <c r="OHV393" s="66"/>
      <c r="OHW393" s="66"/>
      <c r="OHX393" s="66"/>
      <c r="OHY393" s="66"/>
      <c r="OHZ393" s="66"/>
      <c r="OIA393" s="66"/>
      <c r="OIB393" s="66"/>
      <c r="OIC393" s="66"/>
      <c r="OID393" s="66"/>
      <c r="OIE393" s="66"/>
      <c r="OIF393" s="66"/>
      <c r="OIG393" s="66"/>
      <c r="OIH393" s="66"/>
      <c r="OII393" s="66"/>
      <c r="OIJ393" s="66"/>
      <c r="OIK393" s="66"/>
      <c r="OIL393" s="66"/>
      <c r="OIM393" s="66"/>
      <c r="OIN393" s="66"/>
      <c r="OIO393" s="66"/>
      <c r="OIP393" s="66"/>
      <c r="OIQ393" s="66"/>
      <c r="OIR393" s="66"/>
      <c r="OIS393" s="66"/>
      <c r="OIT393" s="66"/>
      <c r="OIU393" s="66"/>
      <c r="OIV393" s="66"/>
      <c r="OIW393" s="66"/>
      <c r="OIX393" s="66"/>
      <c r="OIY393" s="66"/>
      <c r="OIZ393" s="66"/>
      <c r="OJA393" s="66"/>
      <c r="OJB393" s="66"/>
      <c r="OJC393" s="66"/>
      <c r="OJD393" s="66"/>
      <c r="OJE393" s="66"/>
      <c r="OJF393" s="66"/>
      <c r="OJG393" s="66"/>
      <c r="OJH393" s="66"/>
      <c r="OJI393" s="66"/>
      <c r="OJJ393" s="66"/>
      <c r="OJK393" s="66"/>
      <c r="OJL393" s="66"/>
      <c r="OJM393" s="66"/>
      <c r="OJN393" s="66"/>
      <c r="OJO393" s="66"/>
      <c r="OJP393" s="66"/>
      <c r="OJQ393" s="66"/>
      <c r="OJR393" s="66"/>
      <c r="OJS393" s="66"/>
      <c r="OJT393" s="66"/>
      <c r="OJU393" s="66"/>
      <c r="OJV393" s="66"/>
      <c r="OJW393" s="66"/>
      <c r="OJX393" s="66"/>
      <c r="OJY393" s="66"/>
      <c r="OJZ393" s="66"/>
      <c r="OKA393" s="66"/>
      <c r="OKB393" s="66"/>
      <c r="OKC393" s="66"/>
      <c r="OKD393" s="66"/>
      <c r="OKE393" s="66"/>
      <c r="OKF393" s="66"/>
      <c r="OKG393" s="66"/>
      <c r="OKH393" s="66"/>
      <c r="OKI393" s="66"/>
      <c r="OKJ393" s="66"/>
      <c r="OKK393" s="66"/>
      <c r="OKL393" s="66"/>
      <c r="OKM393" s="66"/>
      <c r="OKN393" s="66"/>
      <c r="OKO393" s="66"/>
      <c r="OKP393" s="66"/>
      <c r="OKQ393" s="66"/>
      <c r="OKR393" s="66"/>
      <c r="OKS393" s="66"/>
      <c r="OKT393" s="66"/>
      <c r="OKU393" s="66"/>
      <c r="OKV393" s="66"/>
      <c r="OKW393" s="66"/>
      <c r="OKX393" s="66"/>
      <c r="OKY393" s="66"/>
      <c r="OKZ393" s="66"/>
      <c r="OLA393" s="66"/>
      <c r="OLB393" s="66"/>
      <c r="OLC393" s="66"/>
      <c r="OLD393" s="66"/>
      <c r="OLE393" s="66"/>
      <c r="OLF393" s="66"/>
      <c r="OLG393" s="66"/>
      <c r="OLH393" s="66"/>
      <c r="OLI393" s="66"/>
      <c r="OLJ393" s="66"/>
      <c r="OLK393" s="66"/>
      <c r="OLL393" s="66"/>
      <c r="OLM393" s="66"/>
      <c r="OLN393" s="66"/>
      <c r="OLO393" s="66"/>
      <c r="OLP393" s="66"/>
      <c r="OLQ393" s="66"/>
      <c r="OLR393" s="66"/>
      <c r="OLS393" s="66"/>
      <c r="OLT393" s="66"/>
      <c r="OLU393" s="66"/>
      <c r="OLV393" s="66"/>
      <c r="OLW393" s="66"/>
      <c r="OLX393" s="66"/>
      <c r="OLY393" s="66"/>
      <c r="OLZ393" s="66"/>
      <c r="OMA393" s="66"/>
      <c r="OMB393" s="66"/>
      <c r="OMC393" s="66"/>
      <c r="OMD393" s="66"/>
      <c r="OME393" s="66"/>
      <c r="OMF393" s="66"/>
      <c r="OMG393" s="66"/>
      <c r="OMH393" s="66"/>
      <c r="OMI393" s="66"/>
      <c r="OMJ393" s="66"/>
      <c r="OMK393" s="66"/>
      <c r="OML393" s="66"/>
      <c r="OMM393" s="66"/>
      <c r="OMN393" s="66"/>
      <c r="OMO393" s="66"/>
      <c r="OMP393" s="66"/>
      <c r="OMQ393" s="66"/>
      <c r="OMR393" s="66"/>
      <c r="OMS393" s="66"/>
      <c r="OMT393" s="66"/>
      <c r="OMU393" s="66"/>
      <c r="OMV393" s="66"/>
      <c r="OMW393" s="66"/>
      <c r="OMX393" s="66"/>
      <c r="OMY393" s="66"/>
      <c r="OMZ393" s="66"/>
      <c r="ONA393" s="66"/>
      <c r="ONB393" s="66"/>
      <c r="ONC393" s="66"/>
      <c r="OND393" s="66"/>
      <c r="ONE393" s="66"/>
      <c r="ONF393" s="66"/>
      <c r="ONG393" s="66"/>
      <c r="ONH393" s="66"/>
      <c r="ONI393" s="66"/>
      <c r="ONJ393" s="66"/>
      <c r="ONK393" s="66"/>
      <c r="ONL393" s="66"/>
      <c r="ONM393" s="66"/>
      <c r="ONN393" s="66"/>
      <c r="ONO393" s="66"/>
      <c r="ONP393" s="66"/>
      <c r="ONQ393" s="66"/>
      <c r="ONR393" s="66"/>
      <c r="ONS393" s="66"/>
      <c r="ONT393" s="66"/>
      <c r="ONU393" s="66"/>
      <c r="ONV393" s="66"/>
      <c r="ONW393" s="66"/>
      <c r="ONX393" s="66"/>
      <c r="ONY393" s="66"/>
      <c r="ONZ393" s="66"/>
      <c r="OOA393" s="66"/>
      <c r="OOB393" s="66"/>
      <c r="OOC393" s="66"/>
      <c r="OOD393" s="66"/>
      <c r="OOE393" s="66"/>
      <c r="OOF393" s="66"/>
      <c r="OOG393" s="66"/>
      <c r="OOH393" s="66"/>
      <c r="OOI393" s="66"/>
      <c r="OOJ393" s="66"/>
      <c r="OOK393" s="66"/>
      <c r="OOL393" s="66"/>
      <c r="OOM393" s="66"/>
      <c r="OON393" s="66"/>
      <c r="OOO393" s="66"/>
      <c r="OOP393" s="66"/>
      <c r="OOQ393" s="66"/>
      <c r="OOR393" s="66"/>
      <c r="OOS393" s="66"/>
      <c r="OOT393" s="66"/>
      <c r="OOU393" s="66"/>
      <c r="OOV393" s="66"/>
      <c r="OOW393" s="66"/>
      <c r="OOX393" s="66"/>
      <c r="OOY393" s="66"/>
      <c r="OOZ393" s="66"/>
      <c r="OPA393" s="66"/>
      <c r="OPB393" s="66"/>
      <c r="OPC393" s="66"/>
      <c r="OPD393" s="66"/>
      <c r="OPE393" s="66"/>
      <c r="OPF393" s="66"/>
      <c r="OPG393" s="66"/>
      <c r="OPH393" s="66"/>
      <c r="OPI393" s="66"/>
      <c r="OPJ393" s="66"/>
      <c r="OPK393" s="66"/>
      <c r="OPL393" s="66"/>
      <c r="OPM393" s="66"/>
      <c r="OPN393" s="66"/>
      <c r="OPO393" s="66"/>
      <c r="OPP393" s="66"/>
      <c r="OPQ393" s="66"/>
      <c r="OPR393" s="66"/>
      <c r="OPS393" s="66"/>
      <c r="OPT393" s="66"/>
      <c r="OPU393" s="66"/>
      <c r="OPV393" s="66"/>
      <c r="OPW393" s="66"/>
      <c r="OPX393" s="66"/>
      <c r="OPY393" s="66"/>
      <c r="OPZ393" s="66"/>
      <c r="OQA393" s="66"/>
      <c r="OQB393" s="66"/>
      <c r="OQC393" s="66"/>
      <c r="OQD393" s="66"/>
      <c r="OQE393" s="66"/>
      <c r="OQF393" s="66"/>
      <c r="OQG393" s="66"/>
      <c r="OQH393" s="66"/>
      <c r="OQI393" s="66"/>
      <c r="OQJ393" s="66"/>
      <c r="OQK393" s="66"/>
      <c r="OQL393" s="66"/>
      <c r="OQM393" s="66"/>
      <c r="OQN393" s="66"/>
      <c r="OQO393" s="66"/>
      <c r="OQP393" s="66"/>
      <c r="OQQ393" s="66"/>
      <c r="OQR393" s="66"/>
      <c r="OQS393" s="66"/>
      <c r="OQT393" s="66"/>
      <c r="OQU393" s="66"/>
      <c r="OQV393" s="66"/>
      <c r="OQW393" s="66"/>
      <c r="OQX393" s="66"/>
      <c r="OQY393" s="66"/>
      <c r="OQZ393" s="66"/>
      <c r="ORA393" s="66"/>
      <c r="ORB393" s="66"/>
      <c r="ORC393" s="66"/>
      <c r="ORD393" s="66"/>
      <c r="ORE393" s="66"/>
      <c r="ORF393" s="66"/>
      <c r="ORG393" s="66"/>
      <c r="ORH393" s="66"/>
      <c r="ORI393" s="66"/>
      <c r="ORJ393" s="66"/>
      <c r="ORK393" s="66"/>
      <c r="ORL393" s="66"/>
      <c r="ORM393" s="66"/>
      <c r="ORN393" s="66"/>
      <c r="ORO393" s="66"/>
      <c r="ORP393" s="66"/>
      <c r="ORQ393" s="66"/>
      <c r="ORR393" s="66"/>
      <c r="ORS393" s="66"/>
      <c r="ORT393" s="66"/>
      <c r="ORU393" s="66"/>
      <c r="ORV393" s="66"/>
      <c r="ORW393" s="66"/>
      <c r="ORX393" s="66"/>
      <c r="ORY393" s="66"/>
      <c r="ORZ393" s="66"/>
      <c r="OSA393" s="66"/>
      <c r="OSB393" s="66"/>
      <c r="OSC393" s="66"/>
      <c r="OSD393" s="66"/>
      <c r="OSE393" s="66"/>
      <c r="OSF393" s="66"/>
      <c r="OSG393" s="66"/>
      <c r="OSH393" s="66"/>
      <c r="OSI393" s="66"/>
      <c r="OSJ393" s="66"/>
      <c r="OSK393" s="66"/>
      <c r="OSL393" s="66"/>
      <c r="OSM393" s="66"/>
      <c r="OSN393" s="66"/>
      <c r="OSO393" s="66"/>
      <c r="OSP393" s="66"/>
      <c r="OSQ393" s="66"/>
      <c r="OSR393" s="66"/>
      <c r="OSS393" s="66"/>
      <c r="OST393" s="66"/>
      <c r="OSU393" s="66"/>
      <c r="OSV393" s="66"/>
      <c r="OSW393" s="66"/>
      <c r="OSX393" s="66"/>
      <c r="OSY393" s="66"/>
      <c r="OSZ393" s="66"/>
      <c r="OTA393" s="66"/>
      <c r="OTB393" s="66"/>
      <c r="OTC393" s="66"/>
      <c r="OTD393" s="66"/>
      <c r="OTE393" s="66"/>
      <c r="OTF393" s="66"/>
      <c r="OTG393" s="66"/>
      <c r="OTH393" s="66"/>
      <c r="OTI393" s="66"/>
      <c r="OTJ393" s="66"/>
      <c r="OTK393" s="66"/>
      <c r="OTL393" s="66"/>
      <c r="OTM393" s="66"/>
      <c r="OTN393" s="66"/>
      <c r="OTO393" s="66"/>
      <c r="OTP393" s="66"/>
      <c r="OTQ393" s="66"/>
      <c r="OTR393" s="66"/>
      <c r="OTS393" s="66"/>
      <c r="OTT393" s="66"/>
      <c r="OTU393" s="66"/>
      <c r="OTV393" s="66"/>
      <c r="OTW393" s="66"/>
      <c r="OTX393" s="66"/>
      <c r="OTY393" s="66"/>
      <c r="OTZ393" s="66"/>
      <c r="OUA393" s="66"/>
      <c r="OUB393" s="66"/>
      <c r="OUC393" s="66"/>
      <c r="OUD393" s="66"/>
      <c r="OUE393" s="66"/>
      <c r="OUF393" s="66"/>
      <c r="OUG393" s="66"/>
      <c r="OUH393" s="66"/>
      <c r="OUI393" s="66"/>
      <c r="OUJ393" s="66"/>
      <c r="OUK393" s="66"/>
      <c r="OUL393" s="66"/>
      <c r="OUM393" s="66"/>
      <c r="OUN393" s="66"/>
      <c r="OUO393" s="66"/>
      <c r="OUP393" s="66"/>
      <c r="OUQ393" s="66"/>
      <c r="OUR393" s="66"/>
      <c r="OUS393" s="66"/>
      <c r="OUT393" s="66"/>
      <c r="OUU393" s="66"/>
      <c r="OUV393" s="66"/>
      <c r="OUW393" s="66"/>
      <c r="OUX393" s="66"/>
      <c r="OUY393" s="66"/>
      <c r="OUZ393" s="66"/>
      <c r="OVA393" s="66"/>
      <c r="OVB393" s="66"/>
      <c r="OVC393" s="66"/>
      <c r="OVD393" s="66"/>
      <c r="OVE393" s="66"/>
      <c r="OVF393" s="66"/>
      <c r="OVG393" s="66"/>
      <c r="OVH393" s="66"/>
      <c r="OVI393" s="66"/>
      <c r="OVJ393" s="66"/>
      <c r="OVK393" s="66"/>
      <c r="OVL393" s="66"/>
      <c r="OVM393" s="66"/>
      <c r="OVN393" s="66"/>
      <c r="OVO393" s="66"/>
      <c r="OVP393" s="66"/>
      <c r="OVQ393" s="66"/>
      <c r="OVR393" s="66"/>
      <c r="OVS393" s="66"/>
      <c r="OVT393" s="66"/>
      <c r="OVU393" s="66"/>
      <c r="OVV393" s="66"/>
      <c r="OVW393" s="66"/>
      <c r="OVX393" s="66"/>
      <c r="OVY393" s="66"/>
      <c r="OVZ393" s="66"/>
      <c r="OWA393" s="66"/>
      <c r="OWB393" s="66"/>
      <c r="OWC393" s="66"/>
      <c r="OWD393" s="66"/>
      <c r="OWE393" s="66"/>
      <c r="OWF393" s="66"/>
      <c r="OWG393" s="66"/>
      <c r="OWH393" s="66"/>
      <c r="OWI393" s="66"/>
      <c r="OWJ393" s="66"/>
      <c r="OWK393" s="66"/>
      <c r="OWL393" s="66"/>
      <c r="OWM393" s="66"/>
      <c r="OWN393" s="66"/>
      <c r="OWO393" s="66"/>
      <c r="OWP393" s="66"/>
      <c r="OWQ393" s="66"/>
      <c r="OWR393" s="66"/>
      <c r="OWS393" s="66"/>
      <c r="OWT393" s="66"/>
      <c r="OWU393" s="66"/>
      <c r="OWV393" s="66"/>
      <c r="OWW393" s="66"/>
      <c r="OWX393" s="66"/>
      <c r="OWY393" s="66"/>
      <c r="OWZ393" s="66"/>
      <c r="OXA393" s="66"/>
      <c r="OXB393" s="66"/>
      <c r="OXC393" s="66"/>
      <c r="OXD393" s="66"/>
      <c r="OXE393" s="66"/>
      <c r="OXF393" s="66"/>
      <c r="OXG393" s="66"/>
      <c r="OXH393" s="66"/>
      <c r="OXI393" s="66"/>
      <c r="OXJ393" s="66"/>
      <c r="OXK393" s="66"/>
      <c r="OXL393" s="66"/>
      <c r="OXM393" s="66"/>
      <c r="OXN393" s="66"/>
      <c r="OXO393" s="66"/>
      <c r="OXP393" s="66"/>
      <c r="OXQ393" s="66"/>
      <c r="OXR393" s="66"/>
      <c r="OXS393" s="66"/>
      <c r="OXT393" s="66"/>
      <c r="OXU393" s="66"/>
      <c r="OXV393" s="66"/>
      <c r="OXW393" s="66"/>
      <c r="OXX393" s="66"/>
      <c r="OXY393" s="66"/>
      <c r="OXZ393" s="66"/>
      <c r="OYA393" s="66"/>
      <c r="OYB393" s="66"/>
      <c r="OYC393" s="66"/>
      <c r="OYD393" s="66"/>
      <c r="OYE393" s="66"/>
      <c r="OYF393" s="66"/>
      <c r="OYG393" s="66"/>
      <c r="OYH393" s="66"/>
      <c r="OYI393" s="66"/>
      <c r="OYJ393" s="66"/>
      <c r="OYK393" s="66"/>
      <c r="OYL393" s="66"/>
      <c r="OYM393" s="66"/>
      <c r="OYN393" s="66"/>
      <c r="OYO393" s="66"/>
      <c r="OYP393" s="66"/>
      <c r="OYQ393" s="66"/>
      <c r="OYR393" s="66"/>
      <c r="OYS393" s="66"/>
      <c r="OYT393" s="66"/>
      <c r="OYU393" s="66"/>
      <c r="OYV393" s="66"/>
      <c r="OYW393" s="66"/>
      <c r="OYX393" s="66"/>
      <c r="OYY393" s="66"/>
      <c r="OYZ393" s="66"/>
      <c r="OZA393" s="66"/>
      <c r="OZB393" s="66"/>
      <c r="OZC393" s="66"/>
      <c r="OZD393" s="66"/>
      <c r="OZE393" s="66"/>
      <c r="OZF393" s="66"/>
      <c r="OZG393" s="66"/>
      <c r="OZH393" s="66"/>
      <c r="OZI393" s="66"/>
      <c r="OZJ393" s="66"/>
      <c r="OZK393" s="66"/>
      <c r="OZL393" s="66"/>
      <c r="OZM393" s="66"/>
      <c r="OZN393" s="66"/>
      <c r="OZO393" s="66"/>
      <c r="OZP393" s="66"/>
      <c r="OZQ393" s="66"/>
      <c r="OZR393" s="66"/>
      <c r="OZS393" s="66"/>
      <c r="OZT393" s="66"/>
      <c r="OZU393" s="66"/>
      <c r="OZV393" s="66"/>
      <c r="OZW393" s="66"/>
      <c r="OZX393" s="66"/>
      <c r="OZY393" s="66"/>
      <c r="OZZ393" s="66"/>
      <c r="PAA393" s="66"/>
      <c r="PAB393" s="66"/>
      <c r="PAC393" s="66"/>
      <c r="PAD393" s="66"/>
      <c r="PAE393" s="66"/>
      <c r="PAF393" s="66"/>
      <c r="PAG393" s="66"/>
      <c r="PAH393" s="66"/>
      <c r="PAI393" s="66"/>
      <c r="PAJ393" s="66"/>
      <c r="PAK393" s="66"/>
      <c r="PAL393" s="66"/>
      <c r="PAM393" s="66"/>
      <c r="PAN393" s="66"/>
      <c r="PAO393" s="66"/>
      <c r="PAP393" s="66"/>
      <c r="PAQ393" s="66"/>
      <c r="PAR393" s="66"/>
      <c r="PAS393" s="66"/>
      <c r="PAT393" s="66"/>
      <c r="PAU393" s="66"/>
      <c r="PAV393" s="66"/>
      <c r="PAW393" s="66"/>
      <c r="PAX393" s="66"/>
      <c r="PAY393" s="66"/>
      <c r="PAZ393" s="66"/>
      <c r="PBA393" s="66"/>
      <c r="PBB393" s="66"/>
      <c r="PBC393" s="66"/>
      <c r="PBD393" s="66"/>
      <c r="PBE393" s="66"/>
      <c r="PBF393" s="66"/>
      <c r="PBG393" s="66"/>
      <c r="PBH393" s="66"/>
      <c r="PBI393" s="66"/>
      <c r="PBJ393" s="66"/>
      <c r="PBK393" s="66"/>
      <c r="PBL393" s="66"/>
      <c r="PBM393" s="66"/>
      <c r="PBN393" s="66"/>
      <c r="PBO393" s="66"/>
      <c r="PBP393" s="66"/>
      <c r="PBQ393" s="66"/>
      <c r="PBR393" s="66"/>
      <c r="PBS393" s="66"/>
      <c r="PBT393" s="66"/>
      <c r="PBU393" s="66"/>
      <c r="PBV393" s="66"/>
      <c r="PBW393" s="66"/>
      <c r="PBX393" s="66"/>
      <c r="PBY393" s="66"/>
      <c r="PBZ393" s="66"/>
      <c r="PCA393" s="66"/>
      <c r="PCB393" s="66"/>
      <c r="PCC393" s="66"/>
      <c r="PCD393" s="66"/>
      <c r="PCE393" s="66"/>
      <c r="PCF393" s="66"/>
      <c r="PCG393" s="66"/>
      <c r="PCH393" s="66"/>
      <c r="PCI393" s="66"/>
      <c r="PCJ393" s="66"/>
      <c r="PCK393" s="66"/>
      <c r="PCL393" s="66"/>
      <c r="PCM393" s="66"/>
      <c r="PCN393" s="66"/>
      <c r="PCO393" s="66"/>
      <c r="PCP393" s="66"/>
      <c r="PCQ393" s="66"/>
      <c r="PCR393" s="66"/>
      <c r="PCS393" s="66"/>
      <c r="PCT393" s="66"/>
      <c r="PCU393" s="66"/>
      <c r="PCV393" s="66"/>
      <c r="PCW393" s="66"/>
      <c r="PCX393" s="66"/>
      <c r="PCY393" s="66"/>
      <c r="PCZ393" s="66"/>
      <c r="PDA393" s="66"/>
      <c r="PDB393" s="66"/>
      <c r="PDC393" s="66"/>
      <c r="PDD393" s="66"/>
      <c r="PDE393" s="66"/>
      <c r="PDF393" s="66"/>
      <c r="PDG393" s="66"/>
      <c r="PDH393" s="66"/>
      <c r="PDI393" s="66"/>
      <c r="PDJ393" s="66"/>
      <c r="PDK393" s="66"/>
      <c r="PDL393" s="66"/>
      <c r="PDM393" s="66"/>
      <c r="PDN393" s="66"/>
      <c r="PDO393" s="66"/>
      <c r="PDP393" s="66"/>
      <c r="PDQ393" s="66"/>
      <c r="PDR393" s="66"/>
      <c r="PDS393" s="66"/>
      <c r="PDT393" s="66"/>
      <c r="PDU393" s="66"/>
      <c r="PDV393" s="66"/>
      <c r="PDW393" s="66"/>
      <c r="PDX393" s="66"/>
      <c r="PDY393" s="66"/>
      <c r="PDZ393" s="66"/>
      <c r="PEA393" s="66"/>
      <c r="PEB393" s="66"/>
      <c r="PEC393" s="66"/>
      <c r="PED393" s="66"/>
      <c r="PEE393" s="66"/>
      <c r="PEF393" s="66"/>
      <c r="PEG393" s="66"/>
      <c r="PEH393" s="66"/>
      <c r="PEI393" s="66"/>
      <c r="PEJ393" s="66"/>
      <c r="PEK393" s="66"/>
      <c r="PEL393" s="66"/>
      <c r="PEM393" s="66"/>
      <c r="PEN393" s="66"/>
      <c r="PEO393" s="66"/>
      <c r="PEP393" s="66"/>
      <c r="PEQ393" s="66"/>
      <c r="PER393" s="66"/>
      <c r="PES393" s="66"/>
      <c r="PET393" s="66"/>
      <c r="PEU393" s="66"/>
      <c r="PEV393" s="66"/>
      <c r="PEW393" s="66"/>
      <c r="PEX393" s="66"/>
      <c r="PEY393" s="66"/>
      <c r="PEZ393" s="66"/>
      <c r="PFA393" s="66"/>
      <c r="PFB393" s="66"/>
      <c r="PFC393" s="66"/>
      <c r="PFD393" s="66"/>
      <c r="PFE393" s="66"/>
      <c r="PFF393" s="66"/>
      <c r="PFG393" s="66"/>
      <c r="PFH393" s="66"/>
      <c r="PFI393" s="66"/>
      <c r="PFJ393" s="66"/>
      <c r="PFK393" s="66"/>
      <c r="PFL393" s="66"/>
      <c r="PFM393" s="66"/>
      <c r="PFN393" s="66"/>
      <c r="PFO393" s="66"/>
      <c r="PFP393" s="66"/>
      <c r="PFQ393" s="66"/>
      <c r="PFR393" s="66"/>
      <c r="PFS393" s="66"/>
      <c r="PFT393" s="66"/>
      <c r="PFU393" s="66"/>
      <c r="PFV393" s="66"/>
      <c r="PFW393" s="66"/>
      <c r="PFX393" s="66"/>
      <c r="PFY393" s="66"/>
      <c r="PFZ393" s="66"/>
      <c r="PGA393" s="66"/>
      <c r="PGB393" s="66"/>
      <c r="PGC393" s="66"/>
      <c r="PGD393" s="66"/>
      <c r="PGE393" s="66"/>
      <c r="PGF393" s="66"/>
      <c r="PGG393" s="66"/>
      <c r="PGH393" s="66"/>
      <c r="PGI393" s="66"/>
      <c r="PGJ393" s="66"/>
      <c r="PGK393" s="66"/>
      <c r="PGL393" s="66"/>
      <c r="PGM393" s="66"/>
      <c r="PGN393" s="66"/>
      <c r="PGO393" s="66"/>
      <c r="PGP393" s="66"/>
      <c r="PGQ393" s="66"/>
      <c r="PGR393" s="66"/>
      <c r="PGS393" s="66"/>
      <c r="PGT393" s="66"/>
      <c r="PGU393" s="66"/>
      <c r="PGV393" s="66"/>
      <c r="PGW393" s="66"/>
      <c r="PGX393" s="66"/>
      <c r="PGY393" s="66"/>
      <c r="PGZ393" s="66"/>
      <c r="PHA393" s="66"/>
      <c r="PHB393" s="66"/>
      <c r="PHC393" s="66"/>
      <c r="PHD393" s="66"/>
      <c r="PHE393" s="66"/>
      <c r="PHF393" s="66"/>
      <c r="PHG393" s="66"/>
      <c r="PHH393" s="66"/>
      <c r="PHI393" s="66"/>
      <c r="PHJ393" s="66"/>
      <c r="PHK393" s="66"/>
      <c r="PHL393" s="66"/>
      <c r="PHM393" s="66"/>
      <c r="PHN393" s="66"/>
      <c r="PHO393" s="66"/>
      <c r="PHP393" s="66"/>
      <c r="PHQ393" s="66"/>
      <c r="PHR393" s="66"/>
      <c r="PHS393" s="66"/>
      <c r="PHT393" s="66"/>
      <c r="PHU393" s="66"/>
      <c r="PHV393" s="66"/>
      <c r="PHW393" s="66"/>
      <c r="PHX393" s="66"/>
      <c r="PHY393" s="66"/>
      <c r="PHZ393" s="66"/>
      <c r="PIA393" s="66"/>
      <c r="PIB393" s="66"/>
      <c r="PIC393" s="66"/>
      <c r="PID393" s="66"/>
      <c r="PIE393" s="66"/>
      <c r="PIF393" s="66"/>
      <c r="PIG393" s="66"/>
      <c r="PIH393" s="66"/>
      <c r="PII393" s="66"/>
      <c r="PIJ393" s="66"/>
      <c r="PIK393" s="66"/>
      <c r="PIL393" s="66"/>
      <c r="PIM393" s="66"/>
      <c r="PIN393" s="66"/>
      <c r="PIO393" s="66"/>
      <c r="PIP393" s="66"/>
      <c r="PIQ393" s="66"/>
      <c r="PIR393" s="66"/>
      <c r="PIS393" s="66"/>
      <c r="PIT393" s="66"/>
      <c r="PIU393" s="66"/>
      <c r="PIV393" s="66"/>
      <c r="PIW393" s="66"/>
      <c r="PIX393" s="66"/>
      <c r="PIY393" s="66"/>
      <c r="PIZ393" s="66"/>
      <c r="PJA393" s="66"/>
      <c r="PJB393" s="66"/>
      <c r="PJC393" s="66"/>
      <c r="PJD393" s="66"/>
      <c r="PJE393" s="66"/>
      <c r="PJF393" s="66"/>
      <c r="PJG393" s="66"/>
      <c r="PJH393" s="66"/>
      <c r="PJI393" s="66"/>
      <c r="PJJ393" s="66"/>
      <c r="PJK393" s="66"/>
      <c r="PJL393" s="66"/>
      <c r="PJM393" s="66"/>
      <c r="PJN393" s="66"/>
      <c r="PJO393" s="66"/>
      <c r="PJP393" s="66"/>
      <c r="PJQ393" s="66"/>
      <c r="PJR393" s="66"/>
      <c r="PJS393" s="66"/>
      <c r="PJT393" s="66"/>
      <c r="PJU393" s="66"/>
      <c r="PJV393" s="66"/>
      <c r="PJW393" s="66"/>
      <c r="PJX393" s="66"/>
      <c r="PJY393" s="66"/>
      <c r="PJZ393" s="66"/>
      <c r="PKA393" s="66"/>
      <c r="PKB393" s="66"/>
      <c r="PKC393" s="66"/>
      <c r="PKD393" s="66"/>
      <c r="PKE393" s="66"/>
      <c r="PKF393" s="66"/>
      <c r="PKG393" s="66"/>
      <c r="PKH393" s="66"/>
      <c r="PKI393" s="66"/>
      <c r="PKJ393" s="66"/>
      <c r="PKK393" s="66"/>
      <c r="PKL393" s="66"/>
      <c r="PKM393" s="66"/>
      <c r="PKN393" s="66"/>
      <c r="PKO393" s="66"/>
      <c r="PKP393" s="66"/>
      <c r="PKQ393" s="66"/>
      <c r="PKR393" s="66"/>
      <c r="PKS393" s="66"/>
      <c r="PKT393" s="66"/>
      <c r="PKU393" s="66"/>
      <c r="PKV393" s="66"/>
      <c r="PKW393" s="66"/>
      <c r="PKX393" s="66"/>
      <c r="PKY393" s="66"/>
      <c r="PKZ393" s="66"/>
      <c r="PLA393" s="66"/>
      <c r="PLB393" s="66"/>
      <c r="PLC393" s="66"/>
      <c r="PLD393" s="66"/>
      <c r="PLE393" s="66"/>
      <c r="PLF393" s="66"/>
      <c r="PLG393" s="66"/>
      <c r="PLH393" s="66"/>
      <c r="PLI393" s="66"/>
      <c r="PLJ393" s="66"/>
      <c r="PLK393" s="66"/>
      <c r="PLL393" s="66"/>
      <c r="PLM393" s="66"/>
      <c r="PLN393" s="66"/>
      <c r="PLO393" s="66"/>
      <c r="PLP393" s="66"/>
      <c r="PLQ393" s="66"/>
      <c r="PLR393" s="66"/>
      <c r="PLS393" s="66"/>
      <c r="PLT393" s="66"/>
      <c r="PLU393" s="66"/>
      <c r="PLV393" s="66"/>
      <c r="PLW393" s="66"/>
      <c r="PLX393" s="66"/>
      <c r="PLY393" s="66"/>
      <c r="PLZ393" s="66"/>
      <c r="PMA393" s="66"/>
      <c r="PMB393" s="66"/>
      <c r="PMC393" s="66"/>
      <c r="PMD393" s="66"/>
      <c r="PME393" s="66"/>
      <c r="PMF393" s="66"/>
      <c r="PMG393" s="66"/>
      <c r="PMH393" s="66"/>
      <c r="PMI393" s="66"/>
      <c r="PMJ393" s="66"/>
      <c r="PMK393" s="66"/>
      <c r="PML393" s="66"/>
      <c r="PMM393" s="66"/>
      <c r="PMN393" s="66"/>
      <c r="PMO393" s="66"/>
      <c r="PMP393" s="66"/>
      <c r="PMQ393" s="66"/>
      <c r="PMR393" s="66"/>
      <c r="PMS393" s="66"/>
      <c r="PMT393" s="66"/>
      <c r="PMU393" s="66"/>
      <c r="PMV393" s="66"/>
      <c r="PMW393" s="66"/>
      <c r="PMX393" s="66"/>
      <c r="PMY393" s="66"/>
      <c r="PMZ393" s="66"/>
      <c r="PNA393" s="66"/>
      <c r="PNB393" s="66"/>
      <c r="PNC393" s="66"/>
      <c r="PND393" s="66"/>
      <c r="PNE393" s="66"/>
      <c r="PNF393" s="66"/>
      <c r="PNG393" s="66"/>
      <c r="PNH393" s="66"/>
      <c r="PNI393" s="66"/>
      <c r="PNJ393" s="66"/>
      <c r="PNK393" s="66"/>
      <c r="PNL393" s="66"/>
      <c r="PNM393" s="66"/>
      <c r="PNN393" s="66"/>
      <c r="PNO393" s="66"/>
      <c r="PNP393" s="66"/>
      <c r="PNQ393" s="66"/>
      <c r="PNR393" s="66"/>
      <c r="PNS393" s="66"/>
      <c r="PNT393" s="66"/>
      <c r="PNU393" s="66"/>
      <c r="PNV393" s="66"/>
      <c r="PNW393" s="66"/>
      <c r="PNX393" s="66"/>
      <c r="PNY393" s="66"/>
      <c r="PNZ393" s="66"/>
      <c r="POA393" s="66"/>
      <c r="POB393" s="66"/>
      <c r="POC393" s="66"/>
      <c r="POD393" s="66"/>
      <c r="POE393" s="66"/>
      <c r="POF393" s="66"/>
      <c r="POG393" s="66"/>
      <c r="POH393" s="66"/>
      <c r="POI393" s="66"/>
      <c r="POJ393" s="66"/>
      <c r="POK393" s="66"/>
      <c r="POL393" s="66"/>
      <c r="POM393" s="66"/>
      <c r="PON393" s="66"/>
      <c r="POO393" s="66"/>
      <c r="POP393" s="66"/>
      <c r="POQ393" s="66"/>
      <c r="POR393" s="66"/>
      <c r="POS393" s="66"/>
      <c r="POT393" s="66"/>
      <c r="POU393" s="66"/>
      <c r="POV393" s="66"/>
      <c r="POW393" s="66"/>
      <c r="POX393" s="66"/>
      <c r="POY393" s="66"/>
      <c r="POZ393" s="66"/>
      <c r="PPA393" s="66"/>
      <c r="PPB393" s="66"/>
      <c r="PPC393" s="66"/>
      <c r="PPD393" s="66"/>
      <c r="PPE393" s="66"/>
      <c r="PPF393" s="66"/>
      <c r="PPG393" s="66"/>
      <c r="PPH393" s="66"/>
      <c r="PPI393" s="66"/>
      <c r="PPJ393" s="66"/>
      <c r="PPK393" s="66"/>
      <c r="PPL393" s="66"/>
      <c r="PPM393" s="66"/>
      <c r="PPN393" s="66"/>
      <c r="PPO393" s="66"/>
      <c r="PPP393" s="66"/>
      <c r="PPQ393" s="66"/>
      <c r="PPR393" s="66"/>
      <c r="PPS393" s="66"/>
      <c r="PPT393" s="66"/>
      <c r="PPU393" s="66"/>
      <c r="PPV393" s="66"/>
      <c r="PPW393" s="66"/>
      <c r="PPX393" s="66"/>
      <c r="PPY393" s="66"/>
      <c r="PPZ393" s="66"/>
      <c r="PQA393" s="66"/>
      <c r="PQB393" s="66"/>
      <c r="PQC393" s="66"/>
      <c r="PQD393" s="66"/>
      <c r="PQE393" s="66"/>
      <c r="PQF393" s="66"/>
      <c r="PQG393" s="66"/>
      <c r="PQH393" s="66"/>
      <c r="PQI393" s="66"/>
      <c r="PQJ393" s="66"/>
      <c r="PQK393" s="66"/>
      <c r="PQL393" s="66"/>
      <c r="PQM393" s="66"/>
      <c r="PQN393" s="66"/>
      <c r="PQO393" s="66"/>
      <c r="PQP393" s="66"/>
      <c r="PQQ393" s="66"/>
      <c r="PQR393" s="66"/>
      <c r="PQS393" s="66"/>
      <c r="PQT393" s="66"/>
      <c r="PQU393" s="66"/>
      <c r="PQV393" s="66"/>
      <c r="PQW393" s="66"/>
      <c r="PQX393" s="66"/>
      <c r="PQY393" s="66"/>
      <c r="PQZ393" s="66"/>
      <c r="PRA393" s="66"/>
      <c r="PRB393" s="66"/>
      <c r="PRC393" s="66"/>
      <c r="PRD393" s="66"/>
      <c r="PRE393" s="66"/>
      <c r="PRF393" s="66"/>
      <c r="PRG393" s="66"/>
      <c r="PRH393" s="66"/>
      <c r="PRI393" s="66"/>
      <c r="PRJ393" s="66"/>
      <c r="PRK393" s="66"/>
      <c r="PRL393" s="66"/>
      <c r="PRM393" s="66"/>
      <c r="PRN393" s="66"/>
      <c r="PRO393" s="66"/>
      <c r="PRP393" s="66"/>
      <c r="PRQ393" s="66"/>
      <c r="PRR393" s="66"/>
      <c r="PRS393" s="66"/>
      <c r="PRT393" s="66"/>
      <c r="PRU393" s="66"/>
      <c r="PRV393" s="66"/>
      <c r="PRW393" s="66"/>
      <c r="PRX393" s="66"/>
      <c r="PRY393" s="66"/>
      <c r="PRZ393" s="66"/>
      <c r="PSA393" s="66"/>
      <c r="PSB393" s="66"/>
      <c r="PSC393" s="66"/>
      <c r="PSD393" s="66"/>
      <c r="PSE393" s="66"/>
      <c r="PSF393" s="66"/>
      <c r="PSG393" s="66"/>
      <c r="PSH393" s="66"/>
      <c r="PSI393" s="66"/>
      <c r="PSJ393" s="66"/>
      <c r="PSK393" s="66"/>
      <c r="PSL393" s="66"/>
      <c r="PSM393" s="66"/>
      <c r="PSN393" s="66"/>
      <c r="PSO393" s="66"/>
      <c r="PSP393" s="66"/>
      <c r="PSQ393" s="66"/>
      <c r="PSR393" s="66"/>
      <c r="PSS393" s="66"/>
      <c r="PST393" s="66"/>
      <c r="PSU393" s="66"/>
      <c r="PSV393" s="66"/>
      <c r="PSW393" s="66"/>
      <c r="PSX393" s="66"/>
      <c r="PSY393" s="66"/>
      <c r="PSZ393" s="66"/>
      <c r="PTA393" s="66"/>
      <c r="PTB393" s="66"/>
      <c r="PTC393" s="66"/>
      <c r="PTD393" s="66"/>
      <c r="PTE393" s="66"/>
      <c r="PTF393" s="66"/>
      <c r="PTG393" s="66"/>
      <c r="PTH393" s="66"/>
      <c r="PTI393" s="66"/>
      <c r="PTJ393" s="66"/>
      <c r="PTK393" s="66"/>
      <c r="PTL393" s="66"/>
      <c r="PTM393" s="66"/>
      <c r="PTN393" s="66"/>
      <c r="PTO393" s="66"/>
      <c r="PTP393" s="66"/>
      <c r="PTQ393" s="66"/>
      <c r="PTR393" s="66"/>
      <c r="PTS393" s="66"/>
      <c r="PTT393" s="66"/>
      <c r="PTU393" s="66"/>
      <c r="PTV393" s="66"/>
      <c r="PTW393" s="66"/>
      <c r="PTX393" s="66"/>
      <c r="PTY393" s="66"/>
      <c r="PTZ393" s="66"/>
      <c r="PUA393" s="66"/>
      <c r="PUB393" s="66"/>
      <c r="PUC393" s="66"/>
      <c r="PUD393" s="66"/>
      <c r="PUE393" s="66"/>
      <c r="PUF393" s="66"/>
      <c r="PUG393" s="66"/>
      <c r="PUH393" s="66"/>
      <c r="PUI393" s="66"/>
      <c r="PUJ393" s="66"/>
      <c r="PUK393" s="66"/>
      <c r="PUL393" s="66"/>
      <c r="PUM393" s="66"/>
      <c r="PUN393" s="66"/>
      <c r="PUO393" s="66"/>
      <c r="PUP393" s="66"/>
      <c r="PUQ393" s="66"/>
      <c r="PUR393" s="66"/>
      <c r="PUS393" s="66"/>
      <c r="PUT393" s="66"/>
      <c r="PUU393" s="66"/>
      <c r="PUV393" s="66"/>
      <c r="PUW393" s="66"/>
      <c r="PUX393" s="66"/>
      <c r="PUY393" s="66"/>
      <c r="PUZ393" s="66"/>
      <c r="PVA393" s="66"/>
      <c r="PVB393" s="66"/>
      <c r="PVC393" s="66"/>
      <c r="PVD393" s="66"/>
      <c r="PVE393" s="66"/>
      <c r="PVF393" s="66"/>
      <c r="PVG393" s="66"/>
      <c r="PVH393" s="66"/>
      <c r="PVI393" s="66"/>
      <c r="PVJ393" s="66"/>
      <c r="PVK393" s="66"/>
      <c r="PVL393" s="66"/>
      <c r="PVM393" s="66"/>
      <c r="PVN393" s="66"/>
      <c r="PVO393" s="66"/>
      <c r="PVP393" s="66"/>
      <c r="PVQ393" s="66"/>
      <c r="PVR393" s="66"/>
      <c r="PVS393" s="66"/>
      <c r="PVT393" s="66"/>
      <c r="PVU393" s="66"/>
      <c r="PVV393" s="66"/>
      <c r="PVW393" s="66"/>
      <c r="PVX393" s="66"/>
      <c r="PVY393" s="66"/>
      <c r="PVZ393" s="66"/>
      <c r="PWA393" s="66"/>
      <c r="PWB393" s="66"/>
      <c r="PWC393" s="66"/>
      <c r="PWD393" s="66"/>
      <c r="PWE393" s="66"/>
      <c r="PWF393" s="66"/>
      <c r="PWG393" s="66"/>
      <c r="PWH393" s="66"/>
      <c r="PWI393" s="66"/>
      <c r="PWJ393" s="66"/>
      <c r="PWK393" s="66"/>
      <c r="PWL393" s="66"/>
      <c r="PWM393" s="66"/>
      <c r="PWN393" s="66"/>
      <c r="PWO393" s="66"/>
      <c r="PWP393" s="66"/>
      <c r="PWQ393" s="66"/>
      <c r="PWR393" s="66"/>
      <c r="PWS393" s="66"/>
      <c r="PWT393" s="66"/>
      <c r="PWU393" s="66"/>
      <c r="PWV393" s="66"/>
      <c r="PWW393" s="66"/>
      <c r="PWX393" s="66"/>
      <c r="PWY393" s="66"/>
      <c r="PWZ393" s="66"/>
      <c r="PXA393" s="66"/>
      <c r="PXB393" s="66"/>
      <c r="PXC393" s="66"/>
      <c r="PXD393" s="66"/>
      <c r="PXE393" s="66"/>
      <c r="PXF393" s="66"/>
      <c r="PXG393" s="66"/>
      <c r="PXH393" s="66"/>
      <c r="PXI393" s="66"/>
      <c r="PXJ393" s="66"/>
      <c r="PXK393" s="66"/>
      <c r="PXL393" s="66"/>
      <c r="PXM393" s="66"/>
      <c r="PXN393" s="66"/>
      <c r="PXO393" s="66"/>
      <c r="PXP393" s="66"/>
      <c r="PXQ393" s="66"/>
      <c r="PXR393" s="66"/>
      <c r="PXS393" s="66"/>
      <c r="PXT393" s="66"/>
      <c r="PXU393" s="66"/>
      <c r="PXV393" s="66"/>
      <c r="PXW393" s="66"/>
      <c r="PXX393" s="66"/>
      <c r="PXY393" s="66"/>
      <c r="PXZ393" s="66"/>
      <c r="PYA393" s="66"/>
      <c r="PYB393" s="66"/>
      <c r="PYC393" s="66"/>
      <c r="PYD393" s="66"/>
      <c r="PYE393" s="66"/>
      <c r="PYF393" s="66"/>
      <c r="PYG393" s="66"/>
      <c r="PYH393" s="66"/>
      <c r="PYI393" s="66"/>
      <c r="PYJ393" s="66"/>
      <c r="PYK393" s="66"/>
      <c r="PYL393" s="66"/>
      <c r="PYM393" s="66"/>
      <c r="PYN393" s="66"/>
      <c r="PYO393" s="66"/>
      <c r="PYP393" s="66"/>
      <c r="PYQ393" s="66"/>
      <c r="PYR393" s="66"/>
      <c r="PYS393" s="66"/>
      <c r="PYT393" s="66"/>
      <c r="PYU393" s="66"/>
      <c r="PYV393" s="66"/>
      <c r="PYW393" s="66"/>
      <c r="PYX393" s="66"/>
      <c r="PYY393" s="66"/>
      <c r="PYZ393" s="66"/>
      <c r="PZA393" s="66"/>
      <c r="PZB393" s="66"/>
      <c r="PZC393" s="66"/>
      <c r="PZD393" s="66"/>
      <c r="PZE393" s="66"/>
      <c r="PZF393" s="66"/>
      <c r="PZG393" s="66"/>
      <c r="PZH393" s="66"/>
      <c r="PZI393" s="66"/>
      <c r="PZJ393" s="66"/>
      <c r="PZK393" s="66"/>
      <c r="PZL393" s="66"/>
      <c r="PZM393" s="66"/>
      <c r="PZN393" s="66"/>
      <c r="PZO393" s="66"/>
      <c r="PZP393" s="66"/>
      <c r="PZQ393" s="66"/>
      <c r="PZR393" s="66"/>
      <c r="PZS393" s="66"/>
      <c r="PZT393" s="66"/>
      <c r="PZU393" s="66"/>
      <c r="PZV393" s="66"/>
      <c r="PZW393" s="66"/>
      <c r="PZX393" s="66"/>
      <c r="PZY393" s="66"/>
      <c r="PZZ393" s="66"/>
      <c r="QAA393" s="66"/>
      <c r="QAB393" s="66"/>
      <c r="QAC393" s="66"/>
      <c r="QAD393" s="66"/>
      <c r="QAE393" s="66"/>
      <c r="QAF393" s="66"/>
      <c r="QAG393" s="66"/>
      <c r="QAH393" s="66"/>
      <c r="QAI393" s="66"/>
      <c r="QAJ393" s="66"/>
      <c r="QAK393" s="66"/>
      <c r="QAL393" s="66"/>
      <c r="QAM393" s="66"/>
      <c r="QAN393" s="66"/>
      <c r="QAO393" s="66"/>
      <c r="QAP393" s="66"/>
      <c r="QAQ393" s="66"/>
      <c r="QAR393" s="66"/>
      <c r="QAS393" s="66"/>
      <c r="QAT393" s="66"/>
      <c r="QAU393" s="66"/>
      <c r="QAV393" s="66"/>
      <c r="QAW393" s="66"/>
      <c r="QAX393" s="66"/>
      <c r="QAY393" s="66"/>
      <c r="QAZ393" s="66"/>
      <c r="QBA393" s="66"/>
      <c r="QBB393" s="66"/>
      <c r="QBC393" s="66"/>
      <c r="QBD393" s="66"/>
      <c r="QBE393" s="66"/>
      <c r="QBF393" s="66"/>
      <c r="QBG393" s="66"/>
      <c r="QBH393" s="66"/>
      <c r="QBI393" s="66"/>
      <c r="QBJ393" s="66"/>
      <c r="QBK393" s="66"/>
      <c r="QBL393" s="66"/>
      <c r="QBM393" s="66"/>
      <c r="QBN393" s="66"/>
      <c r="QBO393" s="66"/>
      <c r="QBP393" s="66"/>
      <c r="QBQ393" s="66"/>
      <c r="QBR393" s="66"/>
      <c r="QBS393" s="66"/>
      <c r="QBT393" s="66"/>
      <c r="QBU393" s="66"/>
      <c r="QBV393" s="66"/>
      <c r="QBW393" s="66"/>
      <c r="QBX393" s="66"/>
      <c r="QBY393" s="66"/>
      <c r="QBZ393" s="66"/>
      <c r="QCA393" s="66"/>
      <c r="QCB393" s="66"/>
      <c r="QCC393" s="66"/>
      <c r="QCD393" s="66"/>
      <c r="QCE393" s="66"/>
      <c r="QCF393" s="66"/>
      <c r="QCG393" s="66"/>
      <c r="QCH393" s="66"/>
      <c r="QCI393" s="66"/>
      <c r="QCJ393" s="66"/>
      <c r="QCK393" s="66"/>
      <c r="QCL393" s="66"/>
      <c r="QCM393" s="66"/>
      <c r="QCN393" s="66"/>
      <c r="QCO393" s="66"/>
      <c r="QCP393" s="66"/>
      <c r="QCQ393" s="66"/>
      <c r="QCR393" s="66"/>
      <c r="QCS393" s="66"/>
      <c r="QCT393" s="66"/>
      <c r="QCU393" s="66"/>
      <c r="QCV393" s="66"/>
      <c r="QCW393" s="66"/>
      <c r="QCX393" s="66"/>
      <c r="QCY393" s="66"/>
      <c r="QCZ393" s="66"/>
      <c r="QDA393" s="66"/>
      <c r="QDB393" s="66"/>
      <c r="QDC393" s="66"/>
      <c r="QDD393" s="66"/>
      <c r="QDE393" s="66"/>
      <c r="QDF393" s="66"/>
      <c r="QDG393" s="66"/>
      <c r="QDH393" s="66"/>
      <c r="QDI393" s="66"/>
      <c r="QDJ393" s="66"/>
      <c r="QDK393" s="66"/>
      <c r="QDL393" s="66"/>
      <c r="QDM393" s="66"/>
      <c r="QDN393" s="66"/>
      <c r="QDO393" s="66"/>
      <c r="QDP393" s="66"/>
      <c r="QDQ393" s="66"/>
      <c r="QDR393" s="66"/>
      <c r="QDS393" s="66"/>
      <c r="QDT393" s="66"/>
      <c r="QDU393" s="66"/>
      <c r="QDV393" s="66"/>
      <c r="QDW393" s="66"/>
      <c r="QDX393" s="66"/>
      <c r="QDY393" s="66"/>
      <c r="QDZ393" s="66"/>
      <c r="QEA393" s="66"/>
      <c r="QEB393" s="66"/>
      <c r="QEC393" s="66"/>
      <c r="QED393" s="66"/>
      <c r="QEE393" s="66"/>
      <c r="QEF393" s="66"/>
      <c r="QEG393" s="66"/>
      <c r="QEH393" s="66"/>
      <c r="QEI393" s="66"/>
      <c r="QEJ393" s="66"/>
      <c r="QEK393" s="66"/>
      <c r="QEL393" s="66"/>
      <c r="QEM393" s="66"/>
      <c r="QEN393" s="66"/>
      <c r="QEO393" s="66"/>
      <c r="QEP393" s="66"/>
      <c r="QEQ393" s="66"/>
      <c r="QER393" s="66"/>
      <c r="QES393" s="66"/>
      <c r="QET393" s="66"/>
      <c r="QEU393" s="66"/>
      <c r="QEV393" s="66"/>
      <c r="QEW393" s="66"/>
      <c r="QEX393" s="66"/>
      <c r="QEY393" s="66"/>
      <c r="QEZ393" s="66"/>
      <c r="QFA393" s="66"/>
      <c r="QFB393" s="66"/>
      <c r="QFC393" s="66"/>
      <c r="QFD393" s="66"/>
      <c r="QFE393" s="66"/>
      <c r="QFF393" s="66"/>
      <c r="QFG393" s="66"/>
      <c r="QFH393" s="66"/>
      <c r="QFI393" s="66"/>
      <c r="QFJ393" s="66"/>
      <c r="QFK393" s="66"/>
      <c r="QFL393" s="66"/>
      <c r="QFM393" s="66"/>
      <c r="QFN393" s="66"/>
      <c r="QFO393" s="66"/>
      <c r="QFP393" s="66"/>
      <c r="QFQ393" s="66"/>
      <c r="QFR393" s="66"/>
      <c r="QFS393" s="66"/>
      <c r="QFT393" s="66"/>
      <c r="QFU393" s="66"/>
      <c r="QFV393" s="66"/>
      <c r="QFW393" s="66"/>
      <c r="QFX393" s="66"/>
      <c r="QFY393" s="66"/>
      <c r="QFZ393" s="66"/>
      <c r="QGA393" s="66"/>
      <c r="QGB393" s="66"/>
      <c r="QGC393" s="66"/>
      <c r="QGD393" s="66"/>
      <c r="QGE393" s="66"/>
      <c r="QGF393" s="66"/>
      <c r="QGG393" s="66"/>
      <c r="QGH393" s="66"/>
      <c r="QGI393" s="66"/>
      <c r="QGJ393" s="66"/>
      <c r="QGK393" s="66"/>
      <c r="QGL393" s="66"/>
      <c r="QGM393" s="66"/>
      <c r="QGN393" s="66"/>
      <c r="QGO393" s="66"/>
      <c r="QGP393" s="66"/>
      <c r="QGQ393" s="66"/>
      <c r="QGR393" s="66"/>
      <c r="QGS393" s="66"/>
      <c r="QGT393" s="66"/>
      <c r="QGU393" s="66"/>
      <c r="QGV393" s="66"/>
      <c r="QGW393" s="66"/>
      <c r="QGX393" s="66"/>
      <c r="QGY393" s="66"/>
      <c r="QGZ393" s="66"/>
      <c r="QHA393" s="66"/>
      <c r="QHB393" s="66"/>
      <c r="QHC393" s="66"/>
      <c r="QHD393" s="66"/>
      <c r="QHE393" s="66"/>
      <c r="QHF393" s="66"/>
      <c r="QHG393" s="66"/>
      <c r="QHH393" s="66"/>
      <c r="QHI393" s="66"/>
      <c r="QHJ393" s="66"/>
      <c r="QHK393" s="66"/>
      <c r="QHL393" s="66"/>
      <c r="QHM393" s="66"/>
      <c r="QHN393" s="66"/>
      <c r="QHO393" s="66"/>
      <c r="QHP393" s="66"/>
      <c r="QHQ393" s="66"/>
      <c r="QHR393" s="66"/>
      <c r="QHS393" s="66"/>
      <c r="QHT393" s="66"/>
      <c r="QHU393" s="66"/>
      <c r="QHV393" s="66"/>
      <c r="QHW393" s="66"/>
      <c r="QHX393" s="66"/>
      <c r="QHY393" s="66"/>
      <c r="QHZ393" s="66"/>
      <c r="QIA393" s="66"/>
      <c r="QIB393" s="66"/>
      <c r="QIC393" s="66"/>
      <c r="QID393" s="66"/>
      <c r="QIE393" s="66"/>
      <c r="QIF393" s="66"/>
      <c r="QIG393" s="66"/>
      <c r="QIH393" s="66"/>
      <c r="QII393" s="66"/>
      <c r="QIJ393" s="66"/>
      <c r="QIK393" s="66"/>
      <c r="QIL393" s="66"/>
      <c r="QIM393" s="66"/>
      <c r="QIN393" s="66"/>
      <c r="QIO393" s="66"/>
      <c r="QIP393" s="66"/>
      <c r="QIQ393" s="66"/>
      <c r="QIR393" s="66"/>
      <c r="QIS393" s="66"/>
      <c r="QIT393" s="66"/>
      <c r="QIU393" s="66"/>
      <c r="QIV393" s="66"/>
      <c r="QIW393" s="66"/>
      <c r="QIX393" s="66"/>
      <c r="QIY393" s="66"/>
      <c r="QIZ393" s="66"/>
      <c r="QJA393" s="66"/>
      <c r="QJB393" s="66"/>
      <c r="QJC393" s="66"/>
      <c r="QJD393" s="66"/>
      <c r="QJE393" s="66"/>
      <c r="QJF393" s="66"/>
      <c r="QJG393" s="66"/>
      <c r="QJH393" s="66"/>
      <c r="QJI393" s="66"/>
      <c r="QJJ393" s="66"/>
      <c r="QJK393" s="66"/>
      <c r="QJL393" s="66"/>
      <c r="QJM393" s="66"/>
      <c r="QJN393" s="66"/>
      <c r="QJO393" s="66"/>
      <c r="QJP393" s="66"/>
      <c r="QJQ393" s="66"/>
      <c r="QJR393" s="66"/>
      <c r="QJS393" s="66"/>
      <c r="QJT393" s="66"/>
      <c r="QJU393" s="66"/>
      <c r="QJV393" s="66"/>
      <c r="QJW393" s="66"/>
      <c r="QJX393" s="66"/>
      <c r="QJY393" s="66"/>
      <c r="QJZ393" s="66"/>
      <c r="QKA393" s="66"/>
      <c r="QKB393" s="66"/>
      <c r="QKC393" s="66"/>
      <c r="QKD393" s="66"/>
      <c r="QKE393" s="66"/>
      <c r="QKF393" s="66"/>
      <c r="QKG393" s="66"/>
      <c r="QKH393" s="66"/>
      <c r="QKI393" s="66"/>
      <c r="QKJ393" s="66"/>
      <c r="QKK393" s="66"/>
      <c r="QKL393" s="66"/>
      <c r="QKM393" s="66"/>
      <c r="QKN393" s="66"/>
      <c r="QKO393" s="66"/>
      <c r="QKP393" s="66"/>
      <c r="QKQ393" s="66"/>
      <c r="QKR393" s="66"/>
      <c r="QKS393" s="66"/>
      <c r="QKT393" s="66"/>
      <c r="QKU393" s="66"/>
      <c r="QKV393" s="66"/>
      <c r="QKW393" s="66"/>
      <c r="QKX393" s="66"/>
      <c r="QKY393" s="66"/>
      <c r="QKZ393" s="66"/>
      <c r="QLA393" s="66"/>
      <c r="QLB393" s="66"/>
      <c r="QLC393" s="66"/>
      <c r="QLD393" s="66"/>
      <c r="QLE393" s="66"/>
      <c r="QLF393" s="66"/>
      <c r="QLG393" s="66"/>
      <c r="QLH393" s="66"/>
      <c r="QLI393" s="66"/>
      <c r="QLJ393" s="66"/>
      <c r="QLK393" s="66"/>
      <c r="QLL393" s="66"/>
      <c r="QLM393" s="66"/>
      <c r="QLN393" s="66"/>
      <c r="QLO393" s="66"/>
      <c r="QLP393" s="66"/>
      <c r="QLQ393" s="66"/>
      <c r="QLR393" s="66"/>
      <c r="QLS393" s="66"/>
      <c r="QLT393" s="66"/>
      <c r="QLU393" s="66"/>
      <c r="QLV393" s="66"/>
      <c r="QLW393" s="66"/>
      <c r="QLX393" s="66"/>
      <c r="QLY393" s="66"/>
      <c r="QLZ393" s="66"/>
      <c r="QMA393" s="66"/>
      <c r="QMB393" s="66"/>
      <c r="QMC393" s="66"/>
      <c r="QMD393" s="66"/>
      <c r="QME393" s="66"/>
      <c r="QMF393" s="66"/>
      <c r="QMG393" s="66"/>
      <c r="QMH393" s="66"/>
      <c r="QMI393" s="66"/>
      <c r="QMJ393" s="66"/>
      <c r="QMK393" s="66"/>
      <c r="QML393" s="66"/>
      <c r="QMM393" s="66"/>
      <c r="QMN393" s="66"/>
      <c r="QMO393" s="66"/>
      <c r="QMP393" s="66"/>
      <c r="QMQ393" s="66"/>
      <c r="QMR393" s="66"/>
      <c r="QMS393" s="66"/>
      <c r="QMT393" s="66"/>
      <c r="QMU393" s="66"/>
      <c r="QMV393" s="66"/>
      <c r="QMW393" s="66"/>
      <c r="QMX393" s="66"/>
      <c r="QMY393" s="66"/>
      <c r="QMZ393" s="66"/>
      <c r="QNA393" s="66"/>
      <c r="QNB393" s="66"/>
      <c r="QNC393" s="66"/>
      <c r="QND393" s="66"/>
      <c r="QNE393" s="66"/>
      <c r="QNF393" s="66"/>
      <c r="QNG393" s="66"/>
      <c r="QNH393" s="66"/>
      <c r="QNI393" s="66"/>
      <c r="QNJ393" s="66"/>
      <c r="QNK393" s="66"/>
      <c r="QNL393" s="66"/>
      <c r="QNM393" s="66"/>
      <c r="QNN393" s="66"/>
      <c r="QNO393" s="66"/>
      <c r="QNP393" s="66"/>
      <c r="QNQ393" s="66"/>
      <c r="QNR393" s="66"/>
      <c r="QNS393" s="66"/>
      <c r="QNT393" s="66"/>
      <c r="QNU393" s="66"/>
      <c r="QNV393" s="66"/>
      <c r="QNW393" s="66"/>
      <c r="QNX393" s="66"/>
      <c r="QNY393" s="66"/>
      <c r="QNZ393" s="66"/>
      <c r="QOA393" s="66"/>
      <c r="QOB393" s="66"/>
      <c r="QOC393" s="66"/>
      <c r="QOD393" s="66"/>
      <c r="QOE393" s="66"/>
      <c r="QOF393" s="66"/>
      <c r="QOG393" s="66"/>
      <c r="QOH393" s="66"/>
      <c r="QOI393" s="66"/>
      <c r="QOJ393" s="66"/>
      <c r="QOK393" s="66"/>
      <c r="QOL393" s="66"/>
      <c r="QOM393" s="66"/>
      <c r="QON393" s="66"/>
      <c r="QOO393" s="66"/>
      <c r="QOP393" s="66"/>
      <c r="QOQ393" s="66"/>
      <c r="QOR393" s="66"/>
      <c r="QOS393" s="66"/>
      <c r="QOT393" s="66"/>
      <c r="QOU393" s="66"/>
      <c r="QOV393" s="66"/>
      <c r="QOW393" s="66"/>
      <c r="QOX393" s="66"/>
      <c r="QOY393" s="66"/>
      <c r="QOZ393" s="66"/>
      <c r="QPA393" s="66"/>
      <c r="QPB393" s="66"/>
      <c r="QPC393" s="66"/>
      <c r="QPD393" s="66"/>
      <c r="QPE393" s="66"/>
      <c r="QPF393" s="66"/>
      <c r="QPG393" s="66"/>
      <c r="QPH393" s="66"/>
      <c r="QPI393" s="66"/>
      <c r="QPJ393" s="66"/>
      <c r="QPK393" s="66"/>
      <c r="QPL393" s="66"/>
      <c r="QPM393" s="66"/>
      <c r="QPN393" s="66"/>
      <c r="QPO393" s="66"/>
      <c r="QPP393" s="66"/>
      <c r="QPQ393" s="66"/>
      <c r="QPR393" s="66"/>
      <c r="QPS393" s="66"/>
      <c r="QPT393" s="66"/>
      <c r="QPU393" s="66"/>
      <c r="QPV393" s="66"/>
      <c r="QPW393" s="66"/>
      <c r="QPX393" s="66"/>
      <c r="QPY393" s="66"/>
      <c r="QPZ393" s="66"/>
      <c r="QQA393" s="66"/>
      <c r="QQB393" s="66"/>
      <c r="QQC393" s="66"/>
      <c r="QQD393" s="66"/>
      <c r="QQE393" s="66"/>
      <c r="QQF393" s="66"/>
      <c r="QQG393" s="66"/>
      <c r="QQH393" s="66"/>
      <c r="QQI393" s="66"/>
      <c r="QQJ393" s="66"/>
      <c r="QQK393" s="66"/>
      <c r="QQL393" s="66"/>
      <c r="QQM393" s="66"/>
      <c r="QQN393" s="66"/>
      <c r="QQO393" s="66"/>
      <c r="QQP393" s="66"/>
      <c r="QQQ393" s="66"/>
      <c r="QQR393" s="66"/>
      <c r="QQS393" s="66"/>
      <c r="QQT393" s="66"/>
      <c r="QQU393" s="66"/>
      <c r="QQV393" s="66"/>
      <c r="QQW393" s="66"/>
      <c r="QQX393" s="66"/>
      <c r="QQY393" s="66"/>
      <c r="QQZ393" s="66"/>
      <c r="QRA393" s="66"/>
      <c r="QRB393" s="66"/>
      <c r="QRC393" s="66"/>
      <c r="QRD393" s="66"/>
      <c r="QRE393" s="66"/>
      <c r="QRF393" s="66"/>
      <c r="QRG393" s="66"/>
      <c r="QRH393" s="66"/>
      <c r="QRI393" s="66"/>
      <c r="QRJ393" s="66"/>
      <c r="QRK393" s="66"/>
      <c r="QRL393" s="66"/>
      <c r="QRM393" s="66"/>
      <c r="QRN393" s="66"/>
      <c r="QRO393" s="66"/>
      <c r="QRP393" s="66"/>
      <c r="QRQ393" s="66"/>
      <c r="QRR393" s="66"/>
      <c r="QRS393" s="66"/>
      <c r="QRT393" s="66"/>
      <c r="QRU393" s="66"/>
      <c r="QRV393" s="66"/>
      <c r="QRW393" s="66"/>
      <c r="QRX393" s="66"/>
      <c r="QRY393" s="66"/>
      <c r="QRZ393" s="66"/>
      <c r="QSA393" s="66"/>
      <c r="QSB393" s="66"/>
      <c r="QSC393" s="66"/>
      <c r="QSD393" s="66"/>
      <c r="QSE393" s="66"/>
      <c r="QSF393" s="66"/>
      <c r="QSG393" s="66"/>
      <c r="QSH393" s="66"/>
      <c r="QSI393" s="66"/>
      <c r="QSJ393" s="66"/>
      <c r="QSK393" s="66"/>
      <c r="QSL393" s="66"/>
      <c r="QSM393" s="66"/>
      <c r="QSN393" s="66"/>
      <c r="QSO393" s="66"/>
      <c r="QSP393" s="66"/>
      <c r="QSQ393" s="66"/>
      <c r="QSR393" s="66"/>
      <c r="QSS393" s="66"/>
      <c r="QST393" s="66"/>
      <c r="QSU393" s="66"/>
      <c r="QSV393" s="66"/>
      <c r="QSW393" s="66"/>
      <c r="QSX393" s="66"/>
      <c r="QSY393" s="66"/>
      <c r="QSZ393" s="66"/>
      <c r="QTA393" s="66"/>
      <c r="QTB393" s="66"/>
      <c r="QTC393" s="66"/>
      <c r="QTD393" s="66"/>
      <c r="QTE393" s="66"/>
      <c r="QTF393" s="66"/>
      <c r="QTG393" s="66"/>
      <c r="QTH393" s="66"/>
      <c r="QTI393" s="66"/>
      <c r="QTJ393" s="66"/>
      <c r="QTK393" s="66"/>
      <c r="QTL393" s="66"/>
      <c r="QTM393" s="66"/>
      <c r="QTN393" s="66"/>
      <c r="QTO393" s="66"/>
      <c r="QTP393" s="66"/>
      <c r="QTQ393" s="66"/>
      <c r="QTR393" s="66"/>
      <c r="QTS393" s="66"/>
      <c r="QTT393" s="66"/>
      <c r="QTU393" s="66"/>
      <c r="QTV393" s="66"/>
      <c r="QTW393" s="66"/>
      <c r="QTX393" s="66"/>
      <c r="QTY393" s="66"/>
      <c r="QTZ393" s="66"/>
      <c r="QUA393" s="66"/>
      <c r="QUB393" s="66"/>
      <c r="QUC393" s="66"/>
      <c r="QUD393" s="66"/>
      <c r="QUE393" s="66"/>
      <c r="QUF393" s="66"/>
      <c r="QUG393" s="66"/>
      <c r="QUH393" s="66"/>
      <c r="QUI393" s="66"/>
      <c r="QUJ393" s="66"/>
      <c r="QUK393" s="66"/>
      <c r="QUL393" s="66"/>
      <c r="QUM393" s="66"/>
      <c r="QUN393" s="66"/>
      <c r="QUO393" s="66"/>
      <c r="QUP393" s="66"/>
      <c r="QUQ393" s="66"/>
      <c r="QUR393" s="66"/>
      <c r="QUS393" s="66"/>
      <c r="QUT393" s="66"/>
      <c r="QUU393" s="66"/>
      <c r="QUV393" s="66"/>
      <c r="QUW393" s="66"/>
      <c r="QUX393" s="66"/>
      <c r="QUY393" s="66"/>
      <c r="QUZ393" s="66"/>
      <c r="QVA393" s="66"/>
      <c r="QVB393" s="66"/>
      <c r="QVC393" s="66"/>
      <c r="QVD393" s="66"/>
      <c r="QVE393" s="66"/>
      <c r="QVF393" s="66"/>
      <c r="QVG393" s="66"/>
      <c r="QVH393" s="66"/>
      <c r="QVI393" s="66"/>
      <c r="QVJ393" s="66"/>
      <c r="QVK393" s="66"/>
      <c r="QVL393" s="66"/>
      <c r="QVM393" s="66"/>
      <c r="QVN393" s="66"/>
      <c r="QVO393" s="66"/>
      <c r="QVP393" s="66"/>
      <c r="QVQ393" s="66"/>
      <c r="QVR393" s="66"/>
      <c r="QVS393" s="66"/>
      <c r="QVT393" s="66"/>
      <c r="QVU393" s="66"/>
      <c r="QVV393" s="66"/>
      <c r="QVW393" s="66"/>
      <c r="QVX393" s="66"/>
      <c r="QVY393" s="66"/>
      <c r="QVZ393" s="66"/>
      <c r="QWA393" s="66"/>
      <c r="QWB393" s="66"/>
      <c r="QWC393" s="66"/>
      <c r="QWD393" s="66"/>
      <c r="QWE393" s="66"/>
      <c r="QWF393" s="66"/>
      <c r="QWG393" s="66"/>
      <c r="QWH393" s="66"/>
      <c r="QWI393" s="66"/>
      <c r="QWJ393" s="66"/>
      <c r="QWK393" s="66"/>
      <c r="QWL393" s="66"/>
      <c r="QWM393" s="66"/>
      <c r="QWN393" s="66"/>
      <c r="QWO393" s="66"/>
      <c r="QWP393" s="66"/>
      <c r="QWQ393" s="66"/>
      <c r="QWR393" s="66"/>
      <c r="QWS393" s="66"/>
      <c r="QWT393" s="66"/>
      <c r="QWU393" s="66"/>
      <c r="QWV393" s="66"/>
      <c r="QWW393" s="66"/>
      <c r="QWX393" s="66"/>
      <c r="QWY393" s="66"/>
      <c r="QWZ393" s="66"/>
      <c r="QXA393" s="66"/>
      <c r="QXB393" s="66"/>
      <c r="QXC393" s="66"/>
      <c r="QXD393" s="66"/>
      <c r="QXE393" s="66"/>
      <c r="QXF393" s="66"/>
      <c r="QXG393" s="66"/>
      <c r="QXH393" s="66"/>
      <c r="QXI393" s="66"/>
      <c r="QXJ393" s="66"/>
      <c r="QXK393" s="66"/>
      <c r="QXL393" s="66"/>
      <c r="QXM393" s="66"/>
      <c r="QXN393" s="66"/>
      <c r="QXO393" s="66"/>
      <c r="QXP393" s="66"/>
      <c r="QXQ393" s="66"/>
      <c r="QXR393" s="66"/>
      <c r="QXS393" s="66"/>
      <c r="QXT393" s="66"/>
      <c r="QXU393" s="66"/>
      <c r="QXV393" s="66"/>
      <c r="QXW393" s="66"/>
      <c r="QXX393" s="66"/>
      <c r="QXY393" s="66"/>
      <c r="QXZ393" s="66"/>
      <c r="QYA393" s="66"/>
      <c r="QYB393" s="66"/>
      <c r="QYC393" s="66"/>
      <c r="QYD393" s="66"/>
      <c r="QYE393" s="66"/>
      <c r="QYF393" s="66"/>
      <c r="QYG393" s="66"/>
      <c r="QYH393" s="66"/>
      <c r="QYI393" s="66"/>
      <c r="QYJ393" s="66"/>
      <c r="QYK393" s="66"/>
      <c r="QYL393" s="66"/>
      <c r="QYM393" s="66"/>
      <c r="QYN393" s="66"/>
      <c r="QYO393" s="66"/>
      <c r="QYP393" s="66"/>
      <c r="QYQ393" s="66"/>
      <c r="QYR393" s="66"/>
      <c r="QYS393" s="66"/>
      <c r="QYT393" s="66"/>
      <c r="QYU393" s="66"/>
      <c r="QYV393" s="66"/>
      <c r="QYW393" s="66"/>
      <c r="QYX393" s="66"/>
      <c r="QYY393" s="66"/>
      <c r="QYZ393" s="66"/>
      <c r="QZA393" s="66"/>
      <c r="QZB393" s="66"/>
      <c r="QZC393" s="66"/>
      <c r="QZD393" s="66"/>
      <c r="QZE393" s="66"/>
      <c r="QZF393" s="66"/>
      <c r="QZG393" s="66"/>
      <c r="QZH393" s="66"/>
      <c r="QZI393" s="66"/>
      <c r="QZJ393" s="66"/>
      <c r="QZK393" s="66"/>
      <c r="QZL393" s="66"/>
      <c r="QZM393" s="66"/>
      <c r="QZN393" s="66"/>
      <c r="QZO393" s="66"/>
      <c r="QZP393" s="66"/>
      <c r="QZQ393" s="66"/>
      <c r="QZR393" s="66"/>
      <c r="QZS393" s="66"/>
      <c r="QZT393" s="66"/>
      <c r="QZU393" s="66"/>
      <c r="QZV393" s="66"/>
      <c r="QZW393" s="66"/>
      <c r="QZX393" s="66"/>
      <c r="QZY393" s="66"/>
      <c r="QZZ393" s="66"/>
      <c r="RAA393" s="66"/>
      <c r="RAB393" s="66"/>
      <c r="RAC393" s="66"/>
      <c r="RAD393" s="66"/>
      <c r="RAE393" s="66"/>
      <c r="RAF393" s="66"/>
      <c r="RAG393" s="66"/>
      <c r="RAH393" s="66"/>
      <c r="RAI393" s="66"/>
      <c r="RAJ393" s="66"/>
      <c r="RAK393" s="66"/>
      <c r="RAL393" s="66"/>
      <c r="RAM393" s="66"/>
      <c r="RAN393" s="66"/>
      <c r="RAO393" s="66"/>
      <c r="RAP393" s="66"/>
      <c r="RAQ393" s="66"/>
      <c r="RAR393" s="66"/>
      <c r="RAS393" s="66"/>
      <c r="RAT393" s="66"/>
      <c r="RAU393" s="66"/>
      <c r="RAV393" s="66"/>
      <c r="RAW393" s="66"/>
      <c r="RAX393" s="66"/>
      <c r="RAY393" s="66"/>
      <c r="RAZ393" s="66"/>
      <c r="RBA393" s="66"/>
      <c r="RBB393" s="66"/>
      <c r="RBC393" s="66"/>
      <c r="RBD393" s="66"/>
      <c r="RBE393" s="66"/>
      <c r="RBF393" s="66"/>
      <c r="RBG393" s="66"/>
      <c r="RBH393" s="66"/>
      <c r="RBI393" s="66"/>
      <c r="RBJ393" s="66"/>
      <c r="RBK393" s="66"/>
      <c r="RBL393" s="66"/>
      <c r="RBM393" s="66"/>
      <c r="RBN393" s="66"/>
      <c r="RBO393" s="66"/>
      <c r="RBP393" s="66"/>
      <c r="RBQ393" s="66"/>
      <c r="RBR393" s="66"/>
      <c r="RBS393" s="66"/>
      <c r="RBT393" s="66"/>
      <c r="RBU393" s="66"/>
      <c r="RBV393" s="66"/>
      <c r="RBW393" s="66"/>
      <c r="RBX393" s="66"/>
      <c r="RBY393" s="66"/>
      <c r="RBZ393" s="66"/>
      <c r="RCA393" s="66"/>
      <c r="RCB393" s="66"/>
      <c r="RCC393" s="66"/>
      <c r="RCD393" s="66"/>
      <c r="RCE393" s="66"/>
      <c r="RCF393" s="66"/>
      <c r="RCG393" s="66"/>
      <c r="RCH393" s="66"/>
      <c r="RCI393" s="66"/>
      <c r="RCJ393" s="66"/>
      <c r="RCK393" s="66"/>
      <c r="RCL393" s="66"/>
      <c r="RCM393" s="66"/>
      <c r="RCN393" s="66"/>
      <c r="RCO393" s="66"/>
      <c r="RCP393" s="66"/>
      <c r="RCQ393" s="66"/>
      <c r="RCR393" s="66"/>
      <c r="RCS393" s="66"/>
      <c r="RCT393" s="66"/>
      <c r="RCU393" s="66"/>
      <c r="RCV393" s="66"/>
      <c r="RCW393" s="66"/>
      <c r="RCX393" s="66"/>
      <c r="RCY393" s="66"/>
      <c r="RCZ393" s="66"/>
      <c r="RDA393" s="66"/>
      <c r="RDB393" s="66"/>
      <c r="RDC393" s="66"/>
      <c r="RDD393" s="66"/>
      <c r="RDE393" s="66"/>
      <c r="RDF393" s="66"/>
      <c r="RDG393" s="66"/>
      <c r="RDH393" s="66"/>
      <c r="RDI393" s="66"/>
      <c r="RDJ393" s="66"/>
      <c r="RDK393" s="66"/>
      <c r="RDL393" s="66"/>
      <c r="RDM393" s="66"/>
      <c r="RDN393" s="66"/>
      <c r="RDO393" s="66"/>
      <c r="RDP393" s="66"/>
      <c r="RDQ393" s="66"/>
      <c r="RDR393" s="66"/>
      <c r="RDS393" s="66"/>
      <c r="RDT393" s="66"/>
      <c r="RDU393" s="66"/>
      <c r="RDV393" s="66"/>
      <c r="RDW393" s="66"/>
      <c r="RDX393" s="66"/>
      <c r="RDY393" s="66"/>
      <c r="RDZ393" s="66"/>
      <c r="REA393" s="66"/>
      <c r="REB393" s="66"/>
      <c r="REC393" s="66"/>
      <c r="RED393" s="66"/>
      <c r="REE393" s="66"/>
      <c r="REF393" s="66"/>
      <c r="REG393" s="66"/>
      <c r="REH393" s="66"/>
      <c r="REI393" s="66"/>
      <c r="REJ393" s="66"/>
      <c r="REK393" s="66"/>
      <c r="REL393" s="66"/>
      <c r="REM393" s="66"/>
      <c r="REN393" s="66"/>
      <c r="REO393" s="66"/>
      <c r="REP393" s="66"/>
      <c r="REQ393" s="66"/>
      <c r="RER393" s="66"/>
      <c r="RES393" s="66"/>
      <c r="RET393" s="66"/>
      <c r="REU393" s="66"/>
      <c r="REV393" s="66"/>
      <c r="REW393" s="66"/>
      <c r="REX393" s="66"/>
      <c r="REY393" s="66"/>
      <c r="REZ393" s="66"/>
      <c r="RFA393" s="66"/>
      <c r="RFB393" s="66"/>
      <c r="RFC393" s="66"/>
      <c r="RFD393" s="66"/>
      <c r="RFE393" s="66"/>
      <c r="RFF393" s="66"/>
      <c r="RFG393" s="66"/>
      <c r="RFH393" s="66"/>
      <c r="RFI393" s="66"/>
      <c r="RFJ393" s="66"/>
      <c r="RFK393" s="66"/>
      <c r="RFL393" s="66"/>
      <c r="RFM393" s="66"/>
      <c r="RFN393" s="66"/>
      <c r="RFO393" s="66"/>
      <c r="RFP393" s="66"/>
      <c r="RFQ393" s="66"/>
      <c r="RFR393" s="66"/>
      <c r="RFS393" s="66"/>
      <c r="RFT393" s="66"/>
      <c r="RFU393" s="66"/>
      <c r="RFV393" s="66"/>
      <c r="RFW393" s="66"/>
      <c r="RFX393" s="66"/>
      <c r="RFY393" s="66"/>
      <c r="RFZ393" s="66"/>
      <c r="RGA393" s="66"/>
      <c r="RGB393" s="66"/>
      <c r="RGC393" s="66"/>
      <c r="RGD393" s="66"/>
      <c r="RGE393" s="66"/>
      <c r="RGF393" s="66"/>
      <c r="RGG393" s="66"/>
      <c r="RGH393" s="66"/>
      <c r="RGI393" s="66"/>
      <c r="RGJ393" s="66"/>
      <c r="RGK393" s="66"/>
      <c r="RGL393" s="66"/>
      <c r="RGM393" s="66"/>
      <c r="RGN393" s="66"/>
      <c r="RGO393" s="66"/>
      <c r="RGP393" s="66"/>
      <c r="RGQ393" s="66"/>
      <c r="RGR393" s="66"/>
      <c r="RGS393" s="66"/>
      <c r="RGT393" s="66"/>
      <c r="RGU393" s="66"/>
      <c r="RGV393" s="66"/>
      <c r="RGW393" s="66"/>
      <c r="RGX393" s="66"/>
      <c r="RGY393" s="66"/>
      <c r="RGZ393" s="66"/>
      <c r="RHA393" s="66"/>
      <c r="RHB393" s="66"/>
      <c r="RHC393" s="66"/>
      <c r="RHD393" s="66"/>
      <c r="RHE393" s="66"/>
      <c r="RHF393" s="66"/>
      <c r="RHG393" s="66"/>
      <c r="RHH393" s="66"/>
      <c r="RHI393" s="66"/>
      <c r="RHJ393" s="66"/>
      <c r="RHK393" s="66"/>
      <c r="RHL393" s="66"/>
      <c r="RHM393" s="66"/>
      <c r="RHN393" s="66"/>
      <c r="RHO393" s="66"/>
      <c r="RHP393" s="66"/>
      <c r="RHQ393" s="66"/>
      <c r="RHR393" s="66"/>
      <c r="RHS393" s="66"/>
      <c r="RHT393" s="66"/>
      <c r="RHU393" s="66"/>
      <c r="RHV393" s="66"/>
      <c r="RHW393" s="66"/>
      <c r="RHX393" s="66"/>
      <c r="RHY393" s="66"/>
      <c r="RHZ393" s="66"/>
      <c r="RIA393" s="66"/>
      <c r="RIB393" s="66"/>
      <c r="RIC393" s="66"/>
      <c r="RID393" s="66"/>
      <c r="RIE393" s="66"/>
      <c r="RIF393" s="66"/>
      <c r="RIG393" s="66"/>
      <c r="RIH393" s="66"/>
      <c r="RII393" s="66"/>
      <c r="RIJ393" s="66"/>
      <c r="RIK393" s="66"/>
      <c r="RIL393" s="66"/>
      <c r="RIM393" s="66"/>
      <c r="RIN393" s="66"/>
      <c r="RIO393" s="66"/>
      <c r="RIP393" s="66"/>
      <c r="RIQ393" s="66"/>
      <c r="RIR393" s="66"/>
      <c r="RIS393" s="66"/>
      <c r="RIT393" s="66"/>
      <c r="RIU393" s="66"/>
      <c r="RIV393" s="66"/>
      <c r="RIW393" s="66"/>
      <c r="RIX393" s="66"/>
      <c r="RIY393" s="66"/>
      <c r="RIZ393" s="66"/>
      <c r="RJA393" s="66"/>
      <c r="RJB393" s="66"/>
      <c r="RJC393" s="66"/>
      <c r="RJD393" s="66"/>
      <c r="RJE393" s="66"/>
      <c r="RJF393" s="66"/>
      <c r="RJG393" s="66"/>
      <c r="RJH393" s="66"/>
      <c r="RJI393" s="66"/>
      <c r="RJJ393" s="66"/>
      <c r="RJK393" s="66"/>
      <c r="RJL393" s="66"/>
      <c r="RJM393" s="66"/>
      <c r="RJN393" s="66"/>
      <c r="RJO393" s="66"/>
      <c r="RJP393" s="66"/>
      <c r="RJQ393" s="66"/>
      <c r="RJR393" s="66"/>
      <c r="RJS393" s="66"/>
      <c r="RJT393" s="66"/>
      <c r="RJU393" s="66"/>
      <c r="RJV393" s="66"/>
      <c r="RJW393" s="66"/>
      <c r="RJX393" s="66"/>
      <c r="RJY393" s="66"/>
      <c r="RJZ393" s="66"/>
      <c r="RKA393" s="66"/>
      <c r="RKB393" s="66"/>
      <c r="RKC393" s="66"/>
      <c r="RKD393" s="66"/>
      <c r="RKE393" s="66"/>
      <c r="RKF393" s="66"/>
      <c r="RKG393" s="66"/>
      <c r="RKH393" s="66"/>
      <c r="RKI393" s="66"/>
      <c r="RKJ393" s="66"/>
      <c r="RKK393" s="66"/>
      <c r="RKL393" s="66"/>
      <c r="RKM393" s="66"/>
      <c r="RKN393" s="66"/>
      <c r="RKO393" s="66"/>
      <c r="RKP393" s="66"/>
      <c r="RKQ393" s="66"/>
      <c r="RKR393" s="66"/>
      <c r="RKS393" s="66"/>
      <c r="RKT393" s="66"/>
      <c r="RKU393" s="66"/>
      <c r="RKV393" s="66"/>
      <c r="RKW393" s="66"/>
      <c r="RKX393" s="66"/>
      <c r="RKY393" s="66"/>
      <c r="RKZ393" s="66"/>
      <c r="RLA393" s="66"/>
      <c r="RLB393" s="66"/>
      <c r="RLC393" s="66"/>
      <c r="RLD393" s="66"/>
      <c r="RLE393" s="66"/>
      <c r="RLF393" s="66"/>
      <c r="RLG393" s="66"/>
      <c r="RLH393" s="66"/>
      <c r="RLI393" s="66"/>
      <c r="RLJ393" s="66"/>
      <c r="RLK393" s="66"/>
      <c r="RLL393" s="66"/>
      <c r="RLM393" s="66"/>
      <c r="RLN393" s="66"/>
      <c r="RLO393" s="66"/>
      <c r="RLP393" s="66"/>
      <c r="RLQ393" s="66"/>
      <c r="RLR393" s="66"/>
      <c r="RLS393" s="66"/>
      <c r="RLT393" s="66"/>
      <c r="RLU393" s="66"/>
      <c r="RLV393" s="66"/>
      <c r="RLW393" s="66"/>
      <c r="RLX393" s="66"/>
      <c r="RLY393" s="66"/>
      <c r="RLZ393" s="66"/>
      <c r="RMA393" s="66"/>
      <c r="RMB393" s="66"/>
      <c r="RMC393" s="66"/>
      <c r="RMD393" s="66"/>
      <c r="RME393" s="66"/>
      <c r="RMF393" s="66"/>
      <c r="RMG393" s="66"/>
      <c r="RMH393" s="66"/>
      <c r="RMI393" s="66"/>
      <c r="RMJ393" s="66"/>
      <c r="RMK393" s="66"/>
      <c r="RML393" s="66"/>
      <c r="RMM393" s="66"/>
      <c r="RMN393" s="66"/>
      <c r="RMO393" s="66"/>
      <c r="RMP393" s="66"/>
      <c r="RMQ393" s="66"/>
      <c r="RMR393" s="66"/>
      <c r="RMS393" s="66"/>
      <c r="RMT393" s="66"/>
      <c r="RMU393" s="66"/>
      <c r="RMV393" s="66"/>
      <c r="RMW393" s="66"/>
      <c r="RMX393" s="66"/>
      <c r="RMY393" s="66"/>
      <c r="RMZ393" s="66"/>
      <c r="RNA393" s="66"/>
      <c r="RNB393" s="66"/>
      <c r="RNC393" s="66"/>
      <c r="RND393" s="66"/>
      <c r="RNE393" s="66"/>
      <c r="RNF393" s="66"/>
      <c r="RNG393" s="66"/>
      <c r="RNH393" s="66"/>
      <c r="RNI393" s="66"/>
      <c r="RNJ393" s="66"/>
      <c r="RNK393" s="66"/>
      <c r="RNL393" s="66"/>
      <c r="RNM393" s="66"/>
      <c r="RNN393" s="66"/>
      <c r="RNO393" s="66"/>
      <c r="RNP393" s="66"/>
      <c r="RNQ393" s="66"/>
      <c r="RNR393" s="66"/>
      <c r="RNS393" s="66"/>
      <c r="RNT393" s="66"/>
      <c r="RNU393" s="66"/>
      <c r="RNV393" s="66"/>
      <c r="RNW393" s="66"/>
      <c r="RNX393" s="66"/>
      <c r="RNY393" s="66"/>
      <c r="RNZ393" s="66"/>
      <c r="ROA393" s="66"/>
      <c r="ROB393" s="66"/>
      <c r="ROC393" s="66"/>
      <c r="ROD393" s="66"/>
      <c r="ROE393" s="66"/>
      <c r="ROF393" s="66"/>
      <c r="ROG393" s="66"/>
      <c r="ROH393" s="66"/>
      <c r="ROI393" s="66"/>
      <c r="ROJ393" s="66"/>
      <c r="ROK393" s="66"/>
      <c r="ROL393" s="66"/>
      <c r="ROM393" s="66"/>
      <c r="RON393" s="66"/>
      <c r="ROO393" s="66"/>
      <c r="ROP393" s="66"/>
      <c r="ROQ393" s="66"/>
      <c r="ROR393" s="66"/>
      <c r="ROS393" s="66"/>
      <c r="ROT393" s="66"/>
      <c r="ROU393" s="66"/>
      <c r="ROV393" s="66"/>
      <c r="ROW393" s="66"/>
      <c r="ROX393" s="66"/>
      <c r="ROY393" s="66"/>
      <c r="ROZ393" s="66"/>
      <c r="RPA393" s="66"/>
      <c r="RPB393" s="66"/>
      <c r="RPC393" s="66"/>
      <c r="RPD393" s="66"/>
      <c r="RPE393" s="66"/>
      <c r="RPF393" s="66"/>
      <c r="RPG393" s="66"/>
      <c r="RPH393" s="66"/>
      <c r="RPI393" s="66"/>
      <c r="RPJ393" s="66"/>
      <c r="RPK393" s="66"/>
      <c r="RPL393" s="66"/>
      <c r="RPM393" s="66"/>
      <c r="RPN393" s="66"/>
      <c r="RPO393" s="66"/>
      <c r="RPP393" s="66"/>
      <c r="RPQ393" s="66"/>
      <c r="RPR393" s="66"/>
      <c r="RPS393" s="66"/>
      <c r="RPT393" s="66"/>
      <c r="RPU393" s="66"/>
      <c r="RPV393" s="66"/>
      <c r="RPW393" s="66"/>
      <c r="RPX393" s="66"/>
      <c r="RPY393" s="66"/>
      <c r="RPZ393" s="66"/>
      <c r="RQA393" s="66"/>
      <c r="RQB393" s="66"/>
      <c r="RQC393" s="66"/>
      <c r="RQD393" s="66"/>
      <c r="RQE393" s="66"/>
      <c r="RQF393" s="66"/>
      <c r="RQG393" s="66"/>
      <c r="RQH393" s="66"/>
      <c r="RQI393" s="66"/>
      <c r="RQJ393" s="66"/>
      <c r="RQK393" s="66"/>
      <c r="RQL393" s="66"/>
      <c r="RQM393" s="66"/>
      <c r="RQN393" s="66"/>
      <c r="RQO393" s="66"/>
      <c r="RQP393" s="66"/>
      <c r="RQQ393" s="66"/>
      <c r="RQR393" s="66"/>
      <c r="RQS393" s="66"/>
      <c r="RQT393" s="66"/>
      <c r="RQU393" s="66"/>
      <c r="RQV393" s="66"/>
      <c r="RQW393" s="66"/>
      <c r="RQX393" s="66"/>
      <c r="RQY393" s="66"/>
      <c r="RQZ393" s="66"/>
      <c r="RRA393" s="66"/>
      <c r="RRB393" s="66"/>
      <c r="RRC393" s="66"/>
      <c r="RRD393" s="66"/>
      <c r="RRE393" s="66"/>
      <c r="RRF393" s="66"/>
      <c r="RRG393" s="66"/>
      <c r="RRH393" s="66"/>
      <c r="RRI393" s="66"/>
      <c r="RRJ393" s="66"/>
      <c r="RRK393" s="66"/>
      <c r="RRL393" s="66"/>
      <c r="RRM393" s="66"/>
      <c r="RRN393" s="66"/>
      <c r="RRO393" s="66"/>
      <c r="RRP393" s="66"/>
      <c r="RRQ393" s="66"/>
      <c r="RRR393" s="66"/>
      <c r="RRS393" s="66"/>
      <c r="RRT393" s="66"/>
      <c r="RRU393" s="66"/>
      <c r="RRV393" s="66"/>
      <c r="RRW393" s="66"/>
      <c r="RRX393" s="66"/>
      <c r="RRY393" s="66"/>
      <c r="RRZ393" s="66"/>
      <c r="RSA393" s="66"/>
      <c r="RSB393" s="66"/>
      <c r="RSC393" s="66"/>
      <c r="RSD393" s="66"/>
      <c r="RSE393" s="66"/>
      <c r="RSF393" s="66"/>
      <c r="RSG393" s="66"/>
      <c r="RSH393" s="66"/>
      <c r="RSI393" s="66"/>
      <c r="RSJ393" s="66"/>
      <c r="RSK393" s="66"/>
      <c r="RSL393" s="66"/>
      <c r="RSM393" s="66"/>
      <c r="RSN393" s="66"/>
      <c r="RSO393" s="66"/>
      <c r="RSP393" s="66"/>
      <c r="RSQ393" s="66"/>
      <c r="RSR393" s="66"/>
      <c r="RSS393" s="66"/>
      <c r="RST393" s="66"/>
      <c r="RSU393" s="66"/>
      <c r="RSV393" s="66"/>
      <c r="RSW393" s="66"/>
      <c r="RSX393" s="66"/>
      <c r="RSY393" s="66"/>
      <c r="RSZ393" s="66"/>
      <c r="RTA393" s="66"/>
      <c r="RTB393" s="66"/>
      <c r="RTC393" s="66"/>
      <c r="RTD393" s="66"/>
      <c r="RTE393" s="66"/>
      <c r="RTF393" s="66"/>
      <c r="RTG393" s="66"/>
      <c r="RTH393" s="66"/>
      <c r="RTI393" s="66"/>
      <c r="RTJ393" s="66"/>
      <c r="RTK393" s="66"/>
      <c r="RTL393" s="66"/>
      <c r="RTM393" s="66"/>
      <c r="RTN393" s="66"/>
      <c r="RTO393" s="66"/>
      <c r="RTP393" s="66"/>
      <c r="RTQ393" s="66"/>
      <c r="RTR393" s="66"/>
      <c r="RTS393" s="66"/>
      <c r="RTT393" s="66"/>
      <c r="RTU393" s="66"/>
      <c r="RTV393" s="66"/>
      <c r="RTW393" s="66"/>
      <c r="RTX393" s="66"/>
      <c r="RTY393" s="66"/>
      <c r="RTZ393" s="66"/>
      <c r="RUA393" s="66"/>
      <c r="RUB393" s="66"/>
      <c r="RUC393" s="66"/>
      <c r="RUD393" s="66"/>
      <c r="RUE393" s="66"/>
      <c r="RUF393" s="66"/>
      <c r="RUG393" s="66"/>
      <c r="RUH393" s="66"/>
      <c r="RUI393" s="66"/>
      <c r="RUJ393" s="66"/>
      <c r="RUK393" s="66"/>
      <c r="RUL393" s="66"/>
      <c r="RUM393" s="66"/>
      <c r="RUN393" s="66"/>
      <c r="RUO393" s="66"/>
      <c r="RUP393" s="66"/>
      <c r="RUQ393" s="66"/>
      <c r="RUR393" s="66"/>
      <c r="RUS393" s="66"/>
      <c r="RUT393" s="66"/>
      <c r="RUU393" s="66"/>
      <c r="RUV393" s="66"/>
      <c r="RUW393" s="66"/>
      <c r="RUX393" s="66"/>
      <c r="RUY393" s="66"/>
      <c r="RUZ393" s="66"/>
      <c r="RVA393" s="66"/>
      <c r="RVB393" s="66"/>
      <c r="RVC393" s="66"/>
      <c r="RVD393" s="66"/>
      <c r="RVE393" s="66"/>
      <c r="RVF393" s="66"/>
      <c r="RVG393" s="66"/>
      <c r="RVH393" s="66"/>
      <c r="RVI393" s="66"/>
      <c r="RVJ393" s="66"/>
      <c r="RVK393" s="66"/>
      <c r="RVL393" s="66"/>
      <c r="RVM393" s="66"/>
      <c r="RVN393" s="66"/>
      <c r="RVO393" s="66"/>
      <c r="RVP393" s="66"/>
      <c r="RVQ393" s="66"/>
      <c r="RVR393" s="66"/>
      <c r="RVS393" s="66"/>
      <c r="RVT393" s="66"/>
      <c r="RVU393" s="66"/>
      <c r="RVV393" s="66"/>
      <c r="RVW393" s="66"/>
      <c r="RVX393" s="66"/>
      <c r="RVY393" s="66"/>
      <c r="RVZ393" s="66"/>
      <c r="RWA393" s="66"/>
      <c r="RWB393" s="66"/>
      <c r="RWC393" s="66"/>
      <c r="RWD393" s="66"/>
      <c r="RWE393" s="66"/>
      <c r="RWF393" s="66"/>
      <c r="RWG393" s="66"/>
      <c r="RWH393" s="66"/>
      <c r="RWI393" s="66"/>
      <c r="RWJ393" s="66"/>
      <c r="RWK393" s="66"/>
      <c r="RWL393" s="66"/>
      <c r="RWM393" s="66"/>
      <c r="RWN393" s="66"/>
      <c r="RWO393" s="66"/>
      <c r="RWP393" s="66"/>
      <c r="RWQ393" s="66"/>
      <c r="RWR393" s="66"/>
      <c r="RWS393" s="66"/>
      <c r="RWT393" s="66"/>
      <c r="RWU393" s="66"/>
      <c r="RWV393" s="66"/>
      <c r="RWW393" s="66"/>
      <c r="RWX393" s="66"/>
      <c r="RWY393" s="66"/>
      <c r="RWZ393" s="66"/>
      <c r="RXA393" s="66"/>
      <c r="RXB393" s="66"/>
      <c r="RXC393" s="66"/>
      <c r="RXD393" s="66"/>
      <c r="RXE393" s="66"/>
      <c r="RXF393" s="66"/>
      <c r="RXG393" s="66"/>
      <c r="RXH393" s="66"/>
      <c r="RXI393" s="66"/>
      <c r="RXJ393" s="66"/>
      <c r="RXK393" s="66"/>
      <c r="RXL393" s="66"/>
      <c r="RXM393" s="66"/>
      <c r="RXN393" s="66"/>
      <c r="RXO393" s="66"/>
      <c r="RXP393" s="66"/>
      <c r="RXQ393" s="66"/>
      <c r="RXR393" s="66"/>
      <c r="RXS393" s="66"/>
      <c r="RXT393" s="66"/>
      <c r="RXU393" s="66"/>
      <c r="RXV393" s="66"/>
      <c r="RXW393" s="66"/>
      <c r="RXX393" s="66"/>
      <c r="RXY393" s="66"/>
      <c r="RXZ393" s="66"/>
      <c r="RYA393" s="66"/>
      <c r="RYB393" s="66"/>
      <c r="RYC393" s="66"/>
      <c r="RYD393" s="66"/>
      <c r="RYE393" s="66"/>
      <c r="RYF393" s="66"/>
      <c r="RYG393" s="66"/>
      <c r="RYH393" s="66"/>
      <c r="RYI393" s="66"/>
      <c r="RYJ393" s="66"/>
      <c r="RYK393" s="66"/>
      <c r="RYL393" s="66"/>
      <c r="RYM393" s="66"/>
      <c r="RYN393" s="66"/>
      <c r="RYO393" s="66"/>
      <c r="RYP393" s="66"/>
      <c r="RYQ393" s="66"/>
      <c r="RYR393" s="66"/>
      <c r="RYS393" s="66"/>
      <c r="RYT393" s="66"/>
      <c r="RYU393" s="66"/>
      <c r="RYV393" s="66"/>
      <c r="RYW393" s="66"/>
      <c r="RYX393" s="66"/>
      <c r="RYY393" s="66"/>
      <c r="RYZ393" s="66"/>
      <c r="RZA393" s="66"/>
      <c r="RZB393" s="66"/>
      <c r="RZC393" s="66"/>
      <c r="RZD393" s="66"/>
      <c r="RZE393" s="66"/>
      <c r="RZF393" s="66"/>
      <c r="RZG393" s="66"/>
      <c r="RZH393" s="66"/>
      <c r="RZI393" s="66"/>
      <c r="RZJ393" s="66"/>
      <c r="RZK393" s="66"/>
      <c r="RZL393" s="66"/>
      <c r="RZM393" s="66"/>
      <c r="RZN393" s="66"/>
      <c r="RZO393" s="66"/>
      <c r="RZP393" s="66"/>
      <c r="RZQ393" s="66"/>
      <c r="RZR393" s="66"/>
      <c r="RZS393" s="66"/>
      <c r="RZT393" s="66"/>
      <c r="RZU393" s="66"/>
      <c r="RZV393" s="66"/>
      <c r="RZW393" s="66"/>
      <c r="RZX393" s="66"/>
      <c r="RZY393" s="66"/>
      <c r="RZZ393" s="66"/>
      <c r="SAA393" s="66"/>
      <c r="SAB393" s="66"/>
      <c r="SAC393" s="66"/>
      <c r="SAD393" s="66"/>
      <c r="SAE393" s="66"/>
      <c r="SAF393" s="66"/>
      <c r="SAG393" s="66"/>
      <c r="SAH393" s="66"/>
      <c r="SAI393" s="66"/>
      <c r="SAJ393" s="66"/>
      <c r="SAK393" s="66"/>
      <c r="SAL393" s="66"/>
      <c r="SAM393" s="66"/>
      <c r="SAN393" s="66"/>
      <c r="SAO393" s="66"/>
      <c r="SAP393" s="66"/>
      <c r="SAQ393" s="66"/>
      <c r="SAR393" s="66"/>
      <c r="SAS393" s="66"/>
      <c r="SAT393" s="66"/>
      <c r="SAU393" s="66"/>
      <c r="SAV393" s="66"/>
      <c r="SAW393" s="66"/>
      <c r="SAX393" s="66"/>
      <c r="SAY393" s="66"/>
      <c r="SAZ393" s="66"/>
      <c r="SBA393" s="66"/>
      <c r="SBB393" s="66"/>
      <c r="SBC393" s="66"/>
      <c r="SBD393" s="66"/>
      <c r="SBE393" s="66"/>
      <c r="SBF393" s="66"/>
      <c r="SBG393" s="66"/>
      <c r="SBH393" s="66"/>
      <c r="SBI393" s="66"/>
      <c r="SBJ393" s="66"/>
      <c r="SBK393" s="66"/>
      <c r="SBL393" s="66"/>
      <c r="SBM393" s="66"/>
      <c r="SBN393" s="66"/>
      <c r="SBO393" s="66"/>
      <c r="SBP393" s="66"/>
      <c r="SBQ393" s="66"/>
      <c r="SBR393" s="66"/>
      <c r="SBS393" s="66"/>
      <c r="SBT393" s="66"/>
      <c r="SBU393" s="66"/>
      <c r="SBV393" s="66"/>
      <c r="SBW393" s="66"/>
      <c r="SBX393" s="66"/>
      <c r="SBY393" s="66"/>
      <c r="SBZ393" s="66"/>
      <c r="SCA393" s="66"/>
      <c r="SCB393" s="66"/>
      <c r="SCC393" s="66"/>
      <c r="SCD393" s="66"/>
      <c r="SCE393" s="66"/>
      <c r="SCF393" s="66"/>
      <c r="SCG393" s="66"/>
      <c r="SCH393" s="66"/>
      <c r="SCI393" s="66"/>
      <c r="SCJ393" s="66"/>
      <c r="SCK393" s="66"/>
      <c r="SCL393" s="66"/>
      <c r="SCM393" s="66"/>
      <c r="SCN393" s="66"/>
      <c r="SCO393" s="66"/>
      <c r="SCP393" s="66"/>
      <c r="SCQ393" s="66"/>
      <c r="SCR393" s="66"/>
      <c r="SCS393" s="66"/>
      <c r="SCT393" s="66"/>
      <c r="SCU393" s="66"/>
      <c r="SCV393" s="66"/>
      <c r="SCW393" s="66"/>
      <c r="SCX393" s="66"/>
      <c r="SCY393" s="66"/>
      <c r="SCZ393" s="66"/>
      <c r="SDA393" s="66"/>
      <c r="SDB393" s="66"/>
      <c r="SDC393" s="66"/>
      <c r="SDD393" s="66"/>
      <c r="SDE393" s="66"/>
      <c r="SDF393" s="66"/>
      <c r="SDG393" s="66"/>
      <c r="SDH393" s="66"/>
      <c r="SDI393" s="66"/>
      <c r="SDJ393" s="66"/>
      <c r="SDK393" s="66"/>
      <c r="SDL393" s="66"/>
      <c r="SDM393" s="66"/>
      <c r="SDN393" s="66"/>
      <c r="SDO393" s="66"/>
      <c r="SDP393" s="66"/>
      <c r="SDQ393" s="66"/>
      <c r="SDR393" s="66"/>
      <c r="SDS393" s="66"/>
      <c r="SDT393" s="66"/>
      <c r="SDU393" s="66"/>
      <c r="SDV393" s="66"/>
      <c r="SDW393" s="66"/>
      <c r="SDX393" s="66"/>
      <c r="SDY393" s="66"/>
      <c r="SDZ393" s="66"/>
      <c r="SEA393" s="66"/>
      <c r="SEB393" s="66"/>
      <c r="SEC393" s="66"/>
      <c r="SED393" s="66"/>
      <c r="SEE393" s="66"/>
      <c r="SEF393" s="66"/>
      <c r="SEG393" s="66"/>
      <c r="SEH393" s="66"/>
      <c r="SEI393" s="66"/>
      <c r="SEJ393" s="66"/>
      <c r="SEK393" s="66"/>
      <c r="SEL393" s="66"/>
      <c r="SEM393" s="66"/>
      <c r="SEN393" s="66"/>
      <c r="SEO393" s="66"/>
      <c r="SEP393" s="66"/>
      <c r="SEQ393" s="66"/>
      <c r="SER393" s="66"/>
      <c r="SES393" s="66"/>
      <c r="SET393" s="66"/>
      <c r="SEU393" s="66"/>
      <c r="SEV393" s="66"/>
      <c r="SEW393" s="66"/>
      <c r="SEX393" s="66"/>
      <c r="SEY393" s="66"/>
      <c r="SEZ393" s="66"/>
      <c r="SFA393" s="66"/>
      <c r="SFB393" s="66"/>
      <c r="SFC393" s="66"/>
      <c r="SFD393" s="66"/>
      <c r="SFE393" s="66"/>
      <c r="SFF393" s="66"/>
      <c r="SFG393" s="66"/>
      <c r="SFH393" s="66"/>
      <c r="SFI393" s="66"/>
      <c r="SFJ393" s="66"/>
      <c r="SFK393" s="66"/>
      <c r="SFL393" s="66"/>
      <c r="SFM393" s="66"/>
      <c r="SFN393" s="66"/>
      <c r="SFO393" s="66"/>
      <c r="SFP393" s="66"/>
      <c r="SFQ393" s="66"/>
      <c r="SFR393" s="66"/>
      <c r="SFS393" s="66"/>
      <c r="SFT393" s="66"/>
      <c r="SFU393" s="66"/>
      <c r="SFV393" s="66"/>
      <c r="SFW393" s="66"/>
      <c r="SFX393" s="66"/>
      <c r="SFY393" s="66"/>
      <c r="SFZ393" s="66"/>
      <c r="SGA393" s="66"/>
      <c r="SGB393" s="66"/>
      <c r="SGC393" s="66"/>
      <c r="SGD393" s="66"/>
      <c r="SGE393" s="66"/>
      <c r="SGF393" s="66"/>
      <c r="SGG393" s="66"/>
      <c r="SGH393" s="66"/>
      <c r="SGI393" s="66"/>
      <c r="SGJ393" s="66"/>
      <c r="SGK393" s="66"/>
      <c r="SGL393" s="66"/>
      <c r="SGM393" s="66"/>
      <c r="SGN393" s="66"/>
      <c r="SGO393" s="66"/>
      <c r="SGP393" s="66"/>
      <c r="SGQ393" s="66"/>
      <c r="SGR393" s="66"/>
      <c r="SGS393" s="66"/>
      <c r="SGT393" s="66"/>
      <c r="SGU393" s="66"/>
      <c r="SGV393" s="66"/>
      <c r="SGW393" s="66"/>
      <c r="SGX393" s="66"/>
      <c r="SGY393" s="66"/>
      <c r="SGZ393" s="66"/>
      <c r="SHA393" s="66"/>
      <c r="SHB393" s="66"/>
      <c r="SHC393" s="66"/>
      <c r="SHD393" s="66"/>
      <c r="SHE393" s="66"/>
      <c r="SHF393" s="66"/>
      <c r="SHG393" s="66"/>
      <c r="SHH393" s="66"/>
      <c r="SHI393" s="66"/>
      <c r="SHJ393" s="66"/>
      <c r="SHK393" s="66"/>
      <c r="SHL393" s="66"/>
      <c r="SHM393" s="66"/>
      <c r="SHN393" s="66"/>
      <c r="SHO393" s="66"/>
      <c r="SHP393" s="66"/>
      <c r="SHQ393" s="66"/>
      <c r="SHR393" s="66"/>
      <c r="SHS393" s="66"/>
      <c r="SHT393" s="66"/>
      <c r="SHU393" s="66"/>
      <c r="SHV393" s="66"/>
      <c r="SHW393" s="66"/>
      <c r="SHX393" s="66"/>
      <c r="SHY393" s="66"/>
      <c r="SHZ393" s="66"/>
      <c r="SIA393" s="66"/>
      <c r="SIB393" s="66"/>
      <c r="SIC393" s="66"/>
      <c r="SID393" s="66"/>
      <c r="SIE393" s="66"/>
      <c r="SIF393" s="66"/>
      <c r="SIG393" s="66"/>
      <c r="SIH393" s="66"/>
      <c r="SII393" s="66"/>
      <c r="SIJ393" s="66"/>
      <c r="SIK393" s="66"/>
      <c r="SIL393" s="66"/>
      <c r="SIM393" s="66"/>
      <c r="SIN393" s="66"/>
      <c r="SIO393" s="66"/>
      <c r="SIP393" s="66"/>
      <c r="SIQ393" s="66"/>
      <c r="SIR393" s="66"/>
      <c r="SIS393" s="66"/>
      <c r="SIT393" s="66"/>
      <c r="SIU393" s="66"/>
      <c r="SIV393" s="66"/>
      <c r="SIW393" s="66"/>
      <c r="SIX393" s="66"/>
      <c r="SIY393" s="66"/>
      <c r="SIZ393" s="66"/>
      <c r="SJA393" s="66"/>
      <c r="SJB393" s="66"/>
      <c r="SJC393" s="66"/>
      <c r="SJD393" s="66"/>
      <c r="SJE393" s="66"/>
      <c r="SJF393" s="66"/>
      <c r="SJG393" s="66"/>
      <c r="SJH393" s="66"/>
      <c r="SJI393" s="66"/>
      <c r="SJJ393" s="66"/>
      <c r="SJK393" s="66"/>
      <c r="SJL393" s="66"/>
      <c r="SJM393" s="66"/>
      <c r="SJN393" s="66"/>
      <c r="SJO393" s="66"/>
      <c r="SJP393" s="66"/>
      <c r="SJQ393" s="66"/>
      <c r="SJR393" s="66"/>
      <c r="SJS393" s="66"/>
      <c r="SJT393" s="66"/>
      <c r="SJU393" s="66"/>
      <c r="SJV393" s="66"/>
      <c r="SJW393" s="66"/>
      <c r="SJX393" s="66"/>
      <c r="SJY393" s="66"/>
      <c r="SJZ393" s="66"/>
      <c r="SKA393" s="66"/>
      <c r="SKB393" s="66"/>
      <c r="SKC393" s="66"/>
      <c r="SKD393" s="66"/>
      <c r="SKE393" s="66"/>
      <c r="SKF393" s="66"/>
      <c r="SKG393" s="66"/>
      <c r="SKH393" s="66"/>
      <c r="SKI393" s="66"/>
      <c r="SKJ393" s="66"/>
      <c r="SKK393" s="66"/>
      <c r="SKL393" s="66"/>
      <c r="SKM393" s="66"/>
      <c r="SKN393" s="66"/>
      <c r="SKO393" s="66"/>
      <c r="SKP393" s="66"/>
      <c r="SKQ393" s="66"/>
      <c r="SKR393" s="66"/>
      <c r="SKS393" s="66"/>
      <c r="SKT393" s="66"/>
      <c r="SKU393" s="66"/>
      <c r="SKV393" s="66"/>
      <c r="SKW393" s="66"/>
      <c r="SKX393" s="66"/>
      <c r="SKY393" s="66"/>
      <c r="SKZ393" s="66"/>
      <c r="SLA393" s="66"/>
      <c r="SLB393" s="66"/>
      <c r="SLC393" s="66"/>
      <c r="SLD393" s="66"/>
      <c r="SLE393" s="66"/>
      <c r="SLF393" s="66"/>
      <c r="SLG393" s="66"/>
      <c r="SLH393" s="66"/>
      <c r="SLI393" s="66"/>
      <c r="SLJ393" s="66"/>
      <c r="SLK393" s="66"/>
      <c r="SLL393" s="66"/>
      <c r="SLM393" s="66"/>
      <c r="SLN393" s="66"/>
      <c r="SLO393" s="66"/>
      <c r="SLP393" s="66"/>
      <c r="SLQ393" s="66"/>
      <c r="SLR393" s="66"/>
      <c r="SLS393" s="66"/>
      <c r="SLT393" s="66"/>
      <c r="SLU393" s="66"/>
      <c r="SLV393" s="66"/>
      <c r="SLW393" s="66"/>
      <c r="SLX393" s="66"/>
      <c r="SLY393" s="66"/>
      <c r="SLZ393" s="66"/>
      <c r="SMA393" s="66"/>
      <c r="SMB393" s="66"/>
      <c r="SMC393" s="66"/>
      <c r="SMD393" s="66"/>
      <c r="SME393" s="66"/>
      <c r="SMF393" s="66"/>
      <c r="SMG393" s="66"/>
      <c r="SMH393" s="66"/>
      <c r="SMI393" s="66"/>
      <c r="SMJ393" s="66"/>
      <c r="SMK393" s="66"/>
      <c r="SML393" s="66"/>
      <c r="SMM393" s="66"/>
      <c r="SMN393" s="66"/>
      <c r="SMO393" s="66"/>
      <c r="SMP393" s="66"/>
      <c r="SMQ393" s="66"/>
      <c r="SMR393" s="66"/>
      <c r="SMS393" s="66"/>
      <c r="SMT393" s="66"/>
      <c r="SMU393" s="66"/>
      <c r="SMV393" s="66"/>
      <c r="SMW393" s="66"/>
      <c r="SMX393" s="66"/>
      <c r="SMY393" s="66"/>
      <c r="SMZ393" s="66"/>
      <c r="SNA393" s="66"/>
      <c r="SNB393" s="66"/>
      <c r="SNC393" s="66"/>
      <c r="SND393" s="66"/>
      <c r="SNE393" s="66"/>
      <c r="SNF393" s="66"/>
      <c r="SNG393" s="66"/>
      <c r="SNH393" s="66"/>
      <c r="SNI393" s="66"/>
      <c r="SNJ393" s="66"/>
      <c r="SNK393" s="66"/>
      <c r="SNL393" s="66"/>
      <c r="SNM393" s="66"/>
      <c r="SNN393" s="66"/>
      <c r="SNO393" s="66"/>
      <c r="SNP393" s="66"/>
      <c r="SNQ393" s="66"/>
      <c r="SNR393" s="66"/>
      <c r="SNS393" s="66"/>
      <c r="SNT393" s="66"/>
      <c r="SNU393" s="66"/>
      <c r="SNV393" s="66"/>
      <c r="SNW393" s="66"/>
      <c r="SNX393" s="66"/>
      <c r="SNY393" s="66"/>
      <c r="SNZ393" s="66"/>
      <c r="SOA393" s="66"/>
      <c r="SOB393" s="66"/>
      <c r="SOC393" s="66"/>
      <c r="SOD393" s="66"/>
      <c r="SOE393" s="66"/>
      <c r="SOF393" s="66"/>
      <c r="SOG393" s="66"/>
      <c r="SOH393" s="66"/>
      <c r="SOI393" s="66"/>
      <c r="SOJ393" s="66"/>
      <c r="SOK393" s="66"/>
      <c r="SOL393" s="66"/>
      <c r="SOM393" s="66"/>
      <c r="SON393" s="66"/>
      <c r="SOO393" s="66"/>
      <c r="SOP393" s="66"/>
      <c r="SOQ393" s="66"/>
      <c r="SOR393" s="66"/>
      <c r="SOS393" s="66"/>
      <c r="SOT393" s="66"/>
      <c r="SOU393" s="66"/>
      <c r="SOV393" s="66"/>
      <c r="SOW393" s="66"/>
      <c r="SOX393" s="66"/>
      <c r="SOY393" s="66"/>
      <c r="SOZ393" s="66"/>
      <c r="SPA393" s="66"/>
      <c r="SPB393" s="66"/>
      <c r="SPC393" s="66"/>
      <c r="SPD393" s="66"/>
      <c r="SPE393" s="66"/>
      <c r="SPF393" s="66"/>
      <c r="SPG393" s="66"/>
      <c r="SPH393" s="66"/>
      <c r="SPI393" s="66"/>
      <c r="SPJ393" s="66"/>
      <c r="SPK393" s="66"/>
      <c r="SPL393" s="66"/>
      <c r="SPM393" s="66"/>
      <c r="SPN393" s="66"/>
      <c r="SPO393" s="66"/>
      <c r="SPP393" s="66"/>
      <c r="SPQ393" s="66"/>
      <c r="SPR393" s="66"/>
      <c r="SPS393" s="66"/>
      <c r="SPT393" s="66"/>
      <c r="SPU393" s="66"/>
      <c r="SPV393" s="66"/>
      <c r="SPW393" s="66"/>
      <c r="SPX393" s="66"/>
      <c r="SPY393" s="66"/>
      <c r="SPZ393" s="66"/>
      <c r="SQA393" s="66"/>
      <c r="SQB393" s="66"/>
      <c r="SQC393" s="66"/>
      <c r="SQD393" s="66"/>
      <c r="SQE393" s="66"/>
      <c r="SQF393" s="66"/>
      <c r="SQG393" s="66"/>
      <c r="SQH393" s="66"/>
      <c r="SQI393" s="66"/>
      <c r="SQJ393" s="66"/>
      <c r="SQK393" s="66"/>
      <c r="SQL393" s="66"/>
      <c r="SQM393" s="66"/>
      <c r="SQN393" s="66"/>
      <c r="SQO393" s="66"/>
      <c r="SQP393" s="66"/>
      <c r="SQQ393" s="66"/>
      <c r="SQR393" s="66"/>
      <c r="SQS393" s="66"/>
      <c r="SQT393" s="66"/>
      <c r="SQU393" s="66"/>
      <c r="SQV393" s="66"/>
      <c r="SQW393" s="66"/>
      <c r="SQX393" s="66"/>
      <c r="SQY393" s="66"/>
      <c r="SQZ393" s="66"/>
      <c r="SRA393" s="66"/>
      <c r="SRB393" s="66"/>
      <c r="SRC393" s="66"/>
      <c r="SRD393" s="66"/>
      <c r="SRE393" s="66"/>
      <c r="SRF393" s="66"/>
      <c r="SRG393" s="66"/>
      <c r="SRH393" s="66"/>
      <c r="SRI393" s="66"/>
      <c r="SRJ393" s="66"/>
      <c r="SRK393" s="66"/>
      <c r="SRL393" s="66"/>
      <c r="SRM393" s="66"/>
      <c r="SRN393" s="66"/>
      <c r="SRO393" s="66"/>
      <c r="SRP393" s="66"/>
      <c r="SRQ393" s="66"/>
      <c r="SRR393" s="66"/>
      <c r="SRS393" s="66"/>
      <c r="SRT393" s="66"/>
      <c r="SRU393" s="66"/>
      <c r="SRV393" s="66"/>
      <c r="SRW393" s="66"/>
      <c r="SRX393" s="66"/>
      <c r="SRY393" s="66"/>
      <c r="SRZ393" s="66"/>
      <c r="SSA393" s="66"/>
      <c r="SSB393" s="66"/>
      <c r="SSC393" s="66"/>
      <c r="SSD393" s="66"/>
      <c r="SSE393" s="66"/>
      <c r="SSF393" s="66"/>
      <c r="SSG393" s="66"/>
      <c r="SSH393" s="66"/>
      <c r="SSI393" s="66"/>
      <c r="SSJ393" s="66"/>
      <c r="SSK393" s="66"/>
      <c r="SSL393" s="66"/>
      <c r="SSM393" s="66"/>
      <c r="SSN393" s="66"/>
      <c r="SSO393" s="66"/>
      <c r="SSP393" s="66"/>
      <c r="SSQ393" s="66"/>
      <c r="SSR393" s="66"/>
      <c r="SSS393" s="66"/>
      <c r="SST393" s="66"/>
      <c r="SSU393" s="66"/>
      <c r="SSV393" s="66"/>
      <c r="SSW393" s="66"/>
      <c r="SSX393" s="66"/>
      <c r="SSY393" s="66"/>
      <c r="SSZ393" s="66"/>
      <c r="STA393" s="66"/>
      <c r="STB393" s="66"/>
      <c r="STC393" s="66"/>
      <c r="STD393" s="66"/>
      <c r="STE393" s="66"/>
      <c r="STF393" s="66"/>
      <c r="STG393" s="66"/>
      <c r="STH393" s="66"/>
      <c r="STI393" s="66"/>
      <c r="STJ393" s="66"/>
      <c r="STK393" s="66"/>
      <c r="STL393" s="66"/>
      <c r="STM393" s="66"/>
      <c r="STN393" s="66"/>
      <c r="STO393" s="66"/>
      <c r="STP393" s="66"/>
      <c r="STQ393" s="66"/>
      <c r="STR393" s="66"/>
      <c r="STS393" s="66"/>
      <c r="STT393" s="66"/>
      <c r="STU393" s="66"/>
      <c r="STV393" s="66"/>
      <c r="STW393" s="66"/>
      <c r="STX393" s="66"/>
      <c r="STY393" s="66"/>
      <c r="STZ393" s="66"/>
      <c r="SUA393" s="66"/>
      <c r="SUB393" s="66"/>
      <c r="SUC393" s="66"/>
      <c r="SUD393" s="66"/>
      <c r="SUE393" s="66"/>
      <c r="SUF393" s="66"/>
      <c r="SUG393" s="66"/>
      <c r="SUH393" s="66"/>
      <c r="SUI393" s="66"/>
      <c r="SUJ393" s="66"/>
      <c r="SUK393" s="66"/>
      <c r="SUL393" s="66"/>
      <c r="SUM393" s="66"/>
      <c r="SUN393" s="66"/>
      <c r="SUO393" s="66"/>
      <c r="SUP393" s="66"/>
      <c r="SUQ393" s="66"/>
      <c r="SUR393" s="66"/>
      <c r="SUS393" s="66"/>
      <c r="SUT393" s="66"/>
      <c r="SUU393" s="66"/>
      <c r="SUV393" s="66"/>
      <c r="SUW393" s="66"/>
      <c r="SUX393" s="66"/>
      <c r="SUY393" s="66"/>
      <c r="SUZ393" s="66"/>
      <c r="SVA393" s="66"/>
      <c r="SVB393" s="66"/>
      <c r="SVC393" s="66"/>
      <c r="SVD393" s="66"/>
      <c r="SVE393" s="66"/>
      <c r="SVF393" s="66"/>
      <c r="SVG393" s="66"/>
      <c r="SVH393" s="66"/>
      <c r="SVI393" s="66"/>
      <c r="SVJ393" s="66"/>
      <c r="SVK393" s="66"/>
      <c r="SVL393" s="66"/>
      <c r="SVM393" s="66"/>
      <c r="SVN393" s="66"/>
      <c r="SVO393" s="66"/>
      <c r="SVP393" s="66"/>
      <c r="SVQ393" s="66"/>
      <c r="SVR393" s="66"/>
      <c r="SVS393" s="66"/>
      <c r="SVT393" s="66"/>
      <c r="SVU393" s="66"/>
      <c r="SVV393" s="66"/>
      <c r="SVW393" s="66"/>
      <c r="SVX393" s="66"/>
      <c r="SVY393" s="66"/>
      <c r="SVZ393" s="66"/>
      <c r="SWA393" s="66"/>
      <c r="SWB393" s="66"/>
      <c r="SWC393" s="66"/>
      <c r="SWD393" s="66"/>
      <c r="SWE393" s="66"/>
      <c r="SWF393" s="66"/>
      <c r="SWG393" s="66"/>
      <c r="SWH393" s="66"/>
      <c r="SWI393" s="66"/>
      <c r="SWJ393" s="66"/>
      <c r="SWK393" s="66"/>
      <c r="SWL393" s="66"/>
      <c r="SWM393" s="66"/>
      <c r="SWN393" s="66"/>
      <c r="SWO393" s="66"/>
      <c r="SWP393" s="66"/>
      <c r="SWQ393" s="66"/>
      <c r="SWR393" s="66"/>
      <c r="SWS393" s="66"/>
      <c r="SWT393" s="66"/>
      <c r="SWU393" s="66"/>
      <c r="SWV393" s="66"/>
      <c r="SWW393" s="66"/>
      <c r="SWX393" s="66"/>
      <c r="SWY393" s="66"/>
      <c r="SWZ393" s="66"/>
      <c r="SXA393" s="66"/>
      <c r="SXB393" s="66"/>
      <c r="SXC393" s="66"/>
      <c r="SXD393" s="66"/>
      <c r="SXE393" s="66"/>
      <c r="SXF393" s="66"/>
      <c r="SXG393" s="66"/>
      <c r="SXH393" s="66"/>
      <c r="SXI393" s="66"/>
      <c r="SXJ393" s="66"/>
      <c r="SXK393" s="66"/>
      <c r="SXL393" s="66"/>
      <c r="SXM393" s="66"/>
      <c r="SXN393" s="66"/>
      <c r="SXO393" s="66"/>
      <c r="SXP393" s="66"/>
      <c r="SXQ393" s="66"/>
      <c r="SXR393" s="66"/>
      <c r="SXS393" s="66"/>
      <c r="SXT393" s="66"/>
      <c r="SXU393" s="66"/>
      <c r="SXV393" s="66"/>
      <c r="SXW393" s="66"/>
      <c r="SXX393" s="66"/>
      <c r="SXY393" s="66"/>
      <c r="SXZ393" s="66"/>
      <c r="SYA393" s="66"/>
      <c r="SYB393" s="66"/>
      <c r="SYC393" s="66"/>
      <c r="SYD393" s="66"/>
      <c r="SYE393" s="66"/>
      <c r="SYF393" s="66"/>
      <c r="SYG393" s="66"/>
      <c r="SYH393" s="66"/>
      <c r="SYI393" s="66"/>
      <c r="SYJ393" s="66"/>
      <c r="SYK393" s="66"/>
      <c r="SYL393" s="66"/>
      <c r="SYM393" s="66"/>
      <c r="SYN393" s="66"/>
      <c r="SYO393" s="66"/>
      <c r="SYP393" s="66"/>
      <c r="SYQ393" s="66"/>
      <c r="SYR393" s="66"/>
      <c r="SYS393" s="66"/>
      <c r="SYT393" s="66"/>
      <c r="SYU393" s="66"/>
      <c r="SYV393" s="66"/>
      <c r="SYW393" s="66"/>
      <c r="SYX393" s="66"/>
      <c r="SYY393" s="66"/>
      <c r="SYZ393" s="66"/>
      <c r="SZA393" s="66"/>
      <c r="SZB393" s="66"/>
      <c r="SZC393" s="66"/>
      <c r="SZD393" s="66"/>
      <c r="SZE393" s="66"/>
      <c r="SZF393" s="66"/>
      <c r="SZG393" s="66"/>
      <c r="SZH393" s="66"/>
      <c r="SZI393" s="66"/>
      <c r="SZJ393" s="66"/>
      <c r="SZK393" s="66"/>
      <c r="SZL393" s="66"/>
      <c r="SZM393" s="66"/>
      <c r="SZN393" s="66"/>
      <c r="SZO393" s="66"/>
      <c r="SZP393" s="66"/>
      <c r="SZQ393" s="66"/>
      <c r="SZR393" s="66"/>
      <c r="SZS393" s="66"/>
      <c r="SZT393" s="66"/>
      <c r="SZU393" s="66"/>
      <c r="SZV393" s="66"/>
      <c r="SZW393" s="66"/>
      <c r="SZX393" s="66"/>
      <c r="SZY393" s="66"/>
      <c r="SZZ393" s="66"/>
      <c r="TAA393" s="66"/>
      <c r="TAB393" s="66"/>
      <c r="TAC393" s="66"/>
      <c r="TAD393" s="66"/>
      <c r="TAE393" s="66"/>
      <c r="TAF393" s="66"/>
      <c r="TAG393" s="66"/>
      <c r="TAH393" s="66"/>
      <c r="TAI393" s="66"/>
      <c r="TAJ393" s="66"/>
      <c r="TAK393" s="66"/>
      <c r="TAL393" s="66"/>
      <c r="TAM393" s="66"/>
      <c r="TAN393" s="66"/>
      <c r="TAO393" s="66"/>
      <c r="TAP393" s="66"/>
      <c r="TAQ393" s="66"/>
      <c r="TAR393" s="66"/>
      <c r="TAS393" s="66"/>
      <c r="TAT393" s="66"/>
      <c r="TAU393" s="66"/>
      <c r="TAV393" s="66"/>
      <c r="TAW393" s="66"/>
      <c r="TAX393" s="66"/>
      <c r="TAY393" s="66"/>
      <c r="TAZ393" s="66"/>
      <c r="TBA393" s="66"/>
      <c r="TBB393" s="66"/>
      <c r="TBC393" s="66"/>
      <c r="TBD393" s="66"/>
      <c r="TBE393" s="66"/>
      <c r="TBF393" s="66"/>
      <c r="TBG393" s="66"/>
      <c r="TBH393" s="66"/>
      <c r="TBI393" s="66"/>
      <c r="TBJ393" s="66"/>
      <c r="TBK393" s="66"/>
      <c r="TBL393" s="66"/>
      <c r="TBM393" s="66"/>
      <c r="TBN393" s="66"/>
      <c r="TBO393" s="66"/>
      <c r="TBP393" s="66"/>
      <c r="TBQ393" s="66"/>
      <c r="TBR393" s="66"/>
      <c r="TBS393" s="66"/>
      <c r="TBT393" s="66"/>
      <c r="TBU393" s="66"/>
      <c r="TBV393" s="66"/>
      <c r="TBW393" s="66"/>
      <c r="TBX393" s="66"/>
      <c r="TBY393" s="66"/>
      <c r="TBZ393" s="66"/>
      <c r="TCA393" s="66"/>
      <c r="TCB393" s="66"/>
      <c r="TCC393" s="66"/>
      <c r="TCD393" s="66"/>
      <c r="TCE393" s="66"/>
      <c r="TCF393" s="66"/>
      <c r="TCG393" s="66"/>
      <c r="TCH393" s="66"/>
      <c r="TCI393" s="66"/>
      <c r="TCJ393" s="66"/>
      <c r="TCK393" s="66"/>
      <c r="TCL393" s="66"/>
      <c r="TCM393" s="66"/>
      <c r="TCN393" s="66"/>
      <c r="TCO393" s="66"/>
      <c r="TCP393" s="66"/>
      <c r="TCQ393" s="66"/>
      <c r="TCR393" s="66"/>
      <c r="TCS393" s="66"/>
      <c r="TCT393" s="66"/>
      <c r="TCU393" s="66"/>
      <c r="TCV393" s="66"/>
      <c r="TCW393" s="66"/>
      <c r="TCX393" s="66"/>
      <c r="TCY393" s="66"/>
      <c r="TCZ393" s="66"/>
      <c r="TDA393" s="66"/>
      <c r="TDB393" s="66"/>
      <c r="TDC393" s="66"/>
      <c r="TDD393" s="66"/>
      <c r="TDE393" s="66"/>
      <c r="TDF393" s="66"/>
      <c r="TDG393" s="66"/>
      <c r="TDH393" s="66"/>
      <c r="TDI393" s="66"/>
      <c r="TDJ393" s="66"/>
      <c r="TDK393" s="66"/>
      <c r="TDL393" s="66"/>
      <c r="TDM393" s="66"/>
      <c r="TDN393" s="66"/>
      <c r="TDO393" s="66"/>
      <c r="TDP393" s="66"/>
      <c r="TDQ393" s="66"/>
      <c r="TDR393" s="66"/>
      <c r="TDS393" s="66"/>
      <c r="TDT393" s="66"/>
      <c r="TDU393" s="66"/>
      <c r="TDV393" s="66"/>
      <c r="TDW393" s="66"/>
      <c r="TDX393" s="66"/>
      <c r="TDY393" s="66"/>
      <c r="TDZ393" s="66"/>
      <c r="TEA393" s="66"/>
      <c r="TEB393" s="66"/>
      <c r="TEC393" s="66"/>
      <c r="TED393" s="66"/>
      <c r="TEE393" s="66"/>
      <c r="TEF393" s="66"/>
      <c r="TEG393" s="66"/>
      <c r="TEH393" s="66"/>
      <c r="TEI393" s="66"/>
      <c r="TEJ393" s="66"/>
      <c r="TEK393" s="66"/>
      <c r="TEL393" s="66"/>
      <c r="TEM393" s="66"/>
      <c r="TEN393" s="66"/>
      <c r="TEO393" s="66"/>
      <c r="TEP393" s="66"/>
      <c r="TEQ393" s="66"/>
      <c r="TER393" s="66"/>
      <c r="TES393" s="66"/>
      <c r="TET393" s="66"/>
      <c r="TEU393" s="66"/>
      <c r="TEV393" s="66"/>
      <c r="TEW393" s="66"/>
      <c r="TEX393" s="66"/>
      <c r="TEY393" s="66"/>
      <c r="TEZ393" s="66"/>
      <c r="TFA393" s="66"/>
      <c r="TFB393" s="66"/>
      <c r="TFC393" s="66"/>
      <c r="TFD393" s="66"/>
      <c r="TFE393" s="66"/>
      <c r="TFF393" s="66"/>
      <c r="TFG393" s="66"/>
      <c r="TFH393" s="66"/>
      <c r="TFI393" s="66"/>
      <c r="TFJ393" s="66"/>
      <c r="TFK393" s="66"/>
      <c r="TFL393" s="66"/>
      <c r="TFM393" s="66"/>
      <c r="TFN393" s="66"/>
      <c r="TFO393" s="66"/>
      <c r="TFP393" s="66"/>
      <c r="TFQ393" s="66"/>
      <c r="TFR393" s="66"/>
      <c r="TFS393" s="66"/>
      <c r="TFT393" s="66"/>
      <c r="TFU393" s="66"/>
      <c r="TFV393" s="66"/>
      <c r="TFW393" s="66"/>
      <c r="TFX393" s="66"/>
      <c r="TFY393" s="66"/>
      <c r="TFZ393" s="66"/>
      <c r="TGA393" s="66"/>
      <c r="TGB393" s="66"/>
      <c r="TGC393" s="66"/>
      <c r="TGD393" s="66"/>
      <c r="TGE393" s="66"/>
      <c r="TGF393" s="66"/>
      <c r="TGG393" s="66"/>
      <c r="TGH393" s="66"/>
      <c r="TGI393" s="66"/>
      <c r="TGJ393" s="66"/>
      <c r="TGK393" s="66"/>
      <c r="TGL393" s="66"/>
      <c r="TGM393" s="66"/>
      <c r="TGN393" s="66"/>
      <c r="TGO393" s="66"/>
      <c r="TGP393" s="66"/>
      <c r="TGQ393" s="66"/>
      <c r="TGR393" s="66"/>
      <c r="TGS393" s="66"/>
      <c r="TGT393" s="66"/>
      <c r="TGU393" s="66"/>
      <c r="TGV393" s="66"/>
      <c r="TGW393" s="66"/>
      <c r="TGX393" s="66"/>
      <c r="TGY393" s="66"/>
      <c r="TGZ393" s="66"/>
      <c r="THA393" s="66"/>
      <c r="THB393" s="66"/>
      <c r="THC393" s="66"/>
      <c r="THD393" s="66"/>
      <c r="THE393" s="66"/>
      <c r="THF393" s="66"/>
      <c r="THG393" s="66"/>
      <c r="THH393" s="66"/>
      <c r="THI393" s="66"/>
      <c r="THJ393" s="66"/>
      <c r="THK393" s="66"/>
      <c r="THL393" s="66"/>
      <c r="THM393" s="66"/>
      <c r="THN393" s="66"/>
      <c r="THO393" s="66"/>
      <c r="THP393" s="66"/>
      <c r="THQ393" s="66"/>
      <c r="THR393" s="66"/>
      <c r="THS393" s="66"/>
      <c r="THT393" s="66"/>
      <c r="THU393" s="66"/>
      <c r="THV393" s="66"/>
      <c r="THW393" s="66"/>
      <c r="THX393" s="66"/>
      <c r="THY393" s="66"/>
      <c r="THZ393" s="66"/>
      <c r="TIA393" s="66"/>
      <c r="TIB393" s="66"/>
      <c r="TIC393" s="66"/>
      <c r="TID393" s="66"/>
      <c r="TIE393" s="66"/>
      <c r="TIF393" s="66"/>
      <c r="TIG393" s="66"/>
      <c r="TIH393" s="66"/>
      <c r="TII393" s="66"/>
      <c r="TIJ393" s="66"/>
      <c r="TIK393" s="66"/>
      <c r="TIL393" s="66"/>
      <c r="TIM393" s="66"/>
      <c r="TIN393" s="66"/>
      <c r="TIO393" s="66"/>
      <c r="TIP393" s="66"/>
      <c r="TIQ393" s="66"/>
      <c r="TIR393" s="66"/>
      <c r="TIS393" s="66"/>
      <c r="TIT393" s="66"/>
      <c r="TIU393" s="66"/>
      <c r="TIV393" s="66"/>
      <c r="TIW393" s="66"/>
      <c r="TIX393" s="66"/>
      <c r="TIY393" s="66"/>
      <c r="TIZ393" s="66"/>
      <c r="TJA393" s="66"/>
      <c r="TJB393" s="66"/>
      <c r="TJC393" s="66"/>
      <c r="TJD393" s="66"/>
      <c r="TJE393" s="66"/>
      <c r="TJF393" s="66"/>
      <c r="TJG393" s="66"/>
      <c r="TJH393" s="66"/>
      <c r="TJI393" s="66"/>
      <c r="TJJ393" s="66"/>
      <c r="TJK393" s="66"/>
      <c r="TJL393" s="66"/>
      <c r="TJM393" s="66"/>
      <c r="TJN393" s="66"/>
      <c r="TJO393" s="66"/>
      <c r="TJP393" s="66"/>
      <c r="TJQ393" s="66"/>
      <c r="TJR393" s="66"/>
      <c r="TJS393" s="66"/>
      <c r="TJT393" s="66"/>
      <c r="TJU393" s="66"/>
      <c r="TJV393" s="66"/>
      <c r="TJW393" s="66"/>
      <c r="TJX393" s="66"/>
      <c r="TJY393" s="66"/>
      <c r="TJZ393" s="66"/>
      <c r="TKA393" s="66"/>
      <c r="TKB393" s="66"/>
      <c r="TKC393" s="66"/>
      <c r="TKD393" s="66"/>
      <c r="TKE393" s="66"/>
      <c r="TKF393" s="66"/>
      <c r="TKG393" s="66"/>
      <c r="TKH393" s="66"/>
      <c r="TKI393" s="66"/>
      <c r="TKJ393" s="66"/>
      <c r="TKK393" s="66"/>
      <c r="TKL393" s="66"/>
      <c r="TKM393" s="66"/>
      <c r="TKN393" s="66"/>
      <c r="TKO393" s="66"/>
      <c r="TKP393" s="66"/>
      <c r="TKQ393" s="66"/>
      <c r="TKR393" s="66"/>
      <c r="TKS393" s="66"/>
      <c r="TKT393" s="66"/>
      <c r="TKU393" s="66"/>
      <c r="TKV393" s="66"/>
      <c r="TKW393" s="66"/>
      <c r="TKX393" s="66"/>
      <c r="TKY393" s="66"/>
      <c r="TKZ393" s="66"/>
      <c r="TLA393" s="66"/>
      <c r="TLB393" s="66"/>
      <c r="TLC393" s="66"/>
      <c r="TLD393" s="66"/>
      <c r="TLE393" s="66"/>
      <c r="TLF393" s="66"/>
      <c r="TLG393" s="66"/>
      <c r="TLH393" s="66"/>
      <c r="TLI393" s="66"/>
      <c r="TLJ393" s="66"/>
      <c r="TLK393" s="66"/>
      <c r="TLL393" s="66"/>
      <c r="TLM393" s="66"/>
      <c r="TLN393" s="66"/>
      <c r="TLO393" s="66"/>
      <c r="TLP393" s="66"/>
      <c r="TLQ393" s="66"/>
      <c r="TLR393" s="66"/>
      <c r="TLS393" s="66"/>
      <c r="TLT393" s="66"/>
      <c r="TLU393" s="66"/>
      <c r="TLV393" s="66"/>
      <c r="TLW393" s="66"/>
      <c r="TLX393" s="66"/>
      <c r="TLY393" s="66"/>
      <c r="TLZ393" s="66"/>
      <c r="TMA393" s="66"/>
      <c r="TMB393" s="66"/>
      <c r="TMC393" s="66"/>
      <c r="TMD393" s="66"/>
      <c r="TME393" s="66"/>
      <c r="TMF393" s="66"/>
      <c r="TMG393" s="66"/>
      <c r="TMH393" s="66"/>
      <c r="TMI393" s="66"/>
      <c r="TMJ393" s="66"/>
      <c r="TMK393" s="66"/>
      <c r="TML393" s="66"/>
      <c r="TMM393" s="66"/>
      <c r="TMN393" s="66"/>
      <c r="TMO393" s="66"/>
      <c r="TMP393" s="66"/>
      <c r="TMQ393" s="66"/>
      <c r="TMR393" s="66"/>
      <c r="TMS393" s="66"/>
      <c r="TMT393" s="66"/>
      <c r="TMU393" s="66"/>
      <c r="TMV393" s="66"/>
      <c r="TMW393" s="66"/>
      <c r="TMX393" s="66"/>
      <c r="TMY393" s="66"/>
      <c r="TMZ393" s="66"/>
      <c r="TNA393" s="66"/>
      <c r="TNB393" s="66"/>
      <c r="TNC393" s="66"/>
      <c r="TND393" s="66"/>
      <c r="TNE393" s="66"/>
      <c r="TNF393" s="66"/>
      <c r="TNG393" s="66"/>
      <c r="TNH393" s="66"/>
      <c r="TNI393" s="66"/>
      <c r="TNJ393" s="66"/>
      <c r="TNK393" s="66"/>
      <c r="TNL393" s="66"/>
      <c r="TNM393" s="66"/>
      <c r="TNN393" s="66"/>
      <c r="TNO393" s="66"/>
      <c r="TNP393" s="66"/>
      <c r="TNQ393" s="66"/>
      <c r="TNR393" s="66"/>
      <c r="TNS393" s="66"/>
      <c r="TNT393" s="66"/>
      <c r="TNU393" s="66"/>
      <c r="TNV393" s="66"/>
      <c r="TNW393" s="66"/>
      <c r="TNX393" s="66"/>
      <c r="TNY393" s="66"/>
      <c r="TNZ393" s="66"/>
      <c r="TOA393" s="66"/>
      <c r="TOB393" s="66"/>
      <c r="TOC393" s="66"/>
      <c r="TOD393" s="66"/>
      <c r="TOE393" s="66"/>
      <c r="TOF393" s="66"/>
      <c r="TOG393" s="66"/>
      <c r="TOH393" s="66"/>
      <c r="TOI393" s="66"/>
      <c r="TOJ393" s="66"/>
      <c r="TOK393" s="66"/>
      <c r="TOL393" s="66"/>
      <c r="TOM393" s="66"/>
      <c r="TON393" s="66"/>
      <c r="TOO393" s="66"/>
      <c r="TOP393" s="66"/>
      <c r="TOQ393" s="66"/>
      <c r="TOR393" s="66"/>
      <c r="TOS393" s="66"/>
      <c r="TOT393" s="66"/>
      <c r="TOU393" s="66"/>
      <c r="TOV393" s="66"/>
      <c r="TOW393" s="66"/>
      <c r="TOX393" s="66"/>
      <c r="TOY393" s="66"/>
      <c r="TOZ393" s="66"/>
      <c r="TPA393" s="66"/>
      <c r="TPB393" s="66"/>
      <c r="TPC393" s="66"/>
      <c r="TPD393" s="66"/>
      <c r="TPE393" s="66"/>
      <c r="TPF393" s="66"/>
      <c r="TPG393" s="66"/>
      <c r="TPH393" s="66"/>
      <c r="TPI393" s="66"/>
      <c r="TPJ393" s="66"/>
      <c r="TPK393" s="66"/>
      <c r="TPL393" s="66"/>
      <c r="TPM393" s="66"/>
      <c r="TPN393" s="66"/>
      <c r="TPO393" s="66"/>
      <c r="TPP393" s="66"/>
      <c r="TPQ393" s="66"/>
      <c r="TPR393" s="66"/>
      <c r="TPS393" s="66"/>
      <c r="TPT393" s="66"/>
      <c r="TPU393" s="66"/>
      <c r="TPV393" s="66"/>
      <c r="TPW393" s="66"/>
      <c r="TPX393" s="66"/>
      <c r="TPY393" s="66"/>
      <c r="TPZ393" s="66"/>
      <c r="TQA393" s="66"/>
      <c r="TQB393" s="66"/>
      <c r="TQC393" s="66"/>
      <c r="TQD393" s="66"/>
      <c r="TQE393" s="66"/>
      <c r="TQF393" s="66"/>
      <c r="TQG393" s="66"/>
      <c r="TQH393" s="66"/>
      <c r="TQI393" s="66"/>
      <c r="TQJ393" s="66"/>
      <c r="TQK393" s="66"/>
      <c r="TQL393" s="66"/>
      <c r="TQM393" s="66"/>
      <c r="TQN393" s="66"/>
      <c r="TQO393" s="66"/>
      <c r="TQP393" s="66"/>
      <c r="TQQ393" s="66"/>
      <c r="TQR393" s="66"/>
      <c r="TQS393" s="66"/>
      <c r="TQT393" s="66"/>
      <c r="TQU393" s="66"/>
      <c r="TQV393" s="66"/>
      <c r="TQW393" s="66"/>
      <c r="TQX393" s="66"/>
      <c r="TQY393" s="66"/>
      <c r="TQZ393" s="66"/>
      <c r="TRA393" s="66"/>
      <c r="TRB393" s="66"/>
      <c r="TRC393" s="66"/>
      <c r="TRD393" s="66"/>
      <c r="TRE393" s="66"/>
      <c r="TRF393" s="66"/>
      <c r="TRG393" s="66"/>
      <c r="TRH393" s="66"/>
      <c r="TRI393" s="66"/>
      <c r="TRJ393" s="66"/>
      <c r="TRK393" s="66"/>
      <c r="TRL393" s="66"/>
      <c r="TRM393" s="66"/>
      <c r="TRN393" s="66"/>
      <c r="TRO393" s="66"/>
      <c r="TRP393" s="66"/>
      <c r="TRQ393" s="66"/>
      <c r="TRR393" s="66"/>
      <c r="TRS393" s="66"/>
      <c r="TRT393" s="66"/>
      <c r="TRU393" s="66"/>
      <c r="TRV393" s="66"/>
      <c r="TRW393" s="66"/>
      <c r="TRX393" s="66"/>
      <c r="TRY393" s="66"/>
      <c r="TRZ393" s="66"/>
      <c r="TSA393" s="66"/>
      <c r="TSB393" s="66"/>
      <c r="TSC393" s="66"/>
      <c r="TSD393" s="66"/>
      <c r="TSE393" s="66"/>
      <c r="TSF393" s="66"/>
      <c r="TSG393" s="66"/>
      <c r="TSH393" s="66"/>
      <c r="TSI393" s="66"/>
      <c r="TSJ393" s="66"/>
      <c r="TSK393" s="66"/>
      <c r="TSL393" s="66"/>
      <c r="TSM393" s="66"/>
      <c r="TSN393" s="66"/>
      <c r="TSO393" s="66"/>
      <c r="TSP393" s="66"/>
      <c r="TSQ393" s="66"/>
      <c r="TSR393" s="66"/>
      <c r="TSS393" s="66"/>
      <c r="TST393" s="66"/>
      <c r="TSU393" s="66"/>
      <c r="TSV393" s="66"/>
      <c r="TSW393" s="66"/>
      <c r="TSX393" s="66"/>
      <c r="TSY393" s="66"/>
      <c r="TSZ393" s="66"/>
      <c r="TTA393" s="66"/>
      <c r="TTB393" s="66"/>
      <c r="TTC393" s="66"/>
      <c r="TTD393" s="66"/>
      <c r="TTE393" s="66"/>
      <c r="TTF393" s="66"/>
      <c r="TTG393" s="66"/>
      <c r="TTH393" s="66"/>
      <c r="TTI393" s="66"/>
      <c r="TTJ393" s="66"/>
      <c r="TTK393" s="66"/>
      <c r="TTL393" s="66"/>
      <c r="TTM393" s="66"/>
      <c r="TTN393" s="66"/>
      <c r="TTO393" s="66"/>
      <c r="TTP393" s="66"/>
      <c r="TTQ393" s="66"/>
      <c r="TTR393" s="66"/>
      <c r="TTS393" s="66"/>
      <c r="TTT393" s="66"/>
      <c r="TTU393" s="66"/>
      <c r="TTV393" s="66"/>
      <c r="TTW393" s="66"/>
      <c r="TTX393" s="66"/>
      <c r="TTY393" s="66"/>
      <c r="TTZ393" s="66"/>
      <c r="TUA393" s="66"/>
      <c r="TUB393" s="66"/>
      <c r="TUC393" s="66"/>
      <c r="TUD393" s="66"/>
      <c r="TUE393" s="66"/>
      <c r="TUF393" s="66"/>
      <c r="TUG393" s="66"/>
      <c r="TUH393" s="66"/>
      <c r="TUI393" s="66"/>
      <c r="TUJ393" s="66"/>
      <c r="TUK393" s="66"/>
      <c r="TUL393" s="66"/>
      <c r="TUM393" s="66"/>
      <c r="TUN393" s="66"/>
      <c r="TUO393" s="66"/>
      <c r="TUP393" s="66"/>
      <c r="TUQ393" s="66"/>
      <c r="TUR393" s="66"/>
      <c r="TUS393" s="66"/>
      <c r="TUT393" s="66"/>
      <c r="TUU393" s="66"/>
      <c r="TUV393" s="66"/>
      <c r="TUW393" s="66"/>
      <c r="TUX393" s="66"/>
      <c r="TUY393" s="66"/>
      <c r="TUZ393" s="66"/>
      <c r="TVA393" s="66"/>
      <c r="TVB393" s="66"/>
      <c r="TVC393" s="66"/>
      <c r="TVD393" s="66"/>
      <c r="TVE393" s="66"/>
      <c r="TVF393" s="66"/>
      <c r="TVG393" s="66"/>
      <c r="TVH393" s="66"/>
      <c r="TVI393" s="66"/>
      <c r="TVJ393" s="66"/>
      <c r="TVK393" s="66"/>
      <c r="TVL393" s="66"/>
      <c r="TVM393" s="66"/>
      <c r="TVN393" s="66"/>
      <c r="TVO393" s="66"/>
      <c r="TVP393" s="66"/>
      <c r="TVQ393" s="66"/>
      <c r="TVR393" s="66"/>
      <c r="TVS393" s="66"/>
      <c r="TVT393" s="66"/>
      <c r="TVU393" s="66"/>
      <c r="TVV393" s="66"/>
      <c r="TVW393" s="66"/>
      <c r="TVX393" s="66"/>
      <c r="TVY393" s="66"/>
      <c r="TVZ393" s="66"/>
      <c r="TWA393" s="66"/>
      <c r="TWB393" s="66"/>
      <c r="TWC393" s="66"/>
      <c r="TWD393" s="66"/>
      <c r="TWE393" s="66"/>
      <c r="TWF393" s="66"/>
      <c r="TWG393" s="66"/>
      <c r="TWH393" s="66"/>
      <c r="TWI393" s="66"/>
      <c r="TWJ393" s="66"/>
      <c r="TWK393" s="66"/>
      <c r="TWL393" s="66"/>
      <c r="TWM393" s="66"/>
      <c r="TWN393" s="66"/>
      <c r="TWO393" s="66"/>
      <c r="TWP393" s="66"/>
      <c r="TWQ393" s="66"/>
      <c r="TWR393" s="66"/>
      <c r="TWS393" s="66"/>
      <c r="TWT393" s="66"/>
      <c r="TWU393" s="66"/>
      <c r="TWV393" s="66"/>
      <c r="TWW393" s="66"/>
      <c r="TWX393" s="66"/>
      <c r="TWY393" s="66"/>
      <c r="TWZ393" s="66"/>
      <c r="TXA393" s="66"/>
      <c r="TXB393" s="66"/>
      <c r="TXC393" s="66"/>
      <c r="TXD393" s="66"/>
      <c r="TXE393" s="66"/>
      <c r="TXF393" s="66"/>
      <c r="TXG393" s="66"/>
      <c r="TXH393" s="66"/>
      <c r="TXI393" s="66"/>
      <c r="TXJ393" s="66"/>
      <c r="TXK393" s="66"/>
      <c r="TXL393" s="66"/>
      <c r="TXM393" s="66"/>
      <c r="TXN393" s="66"/>
      <c r="TXO393" s="66"/>
      <c r="TXP393" s="66"/>
      <c r="TXQ393" s="66"/>
      <c r="TXR393" s="66"/>
      <c r="TXS393" s="66"/>
      <c r="TXT393" s="66"/>
      <c r="TXU393" s="66"/>
      <c r="TXV393" s="66"/>
      <c r="TXW393" s="66"/>
      <c r="TXX393" s="66"/>
      <c r="TXY393" s="66"/>
      <c r="TXZ393" s="66"/>
      <c r="TYA393" s="66"/>
      <c r="TYB393" s="66"/>
      <c r="TYC393" s="66"/>
      <c r="TYD393" s="66"/>
      <c r="TYE393" s="66"/>
      <c r="TYF393" s="66"/>
      <c r="TYG393" s="66"/>
      <c r="TYH393" s="66"/>
      <c r="TYI393" s="66"/>
      <c r="TYJ393" s="66"/>
      <c r="TYK393" s="66"/>
      <c r="TYL393" s="66"/>
      <c r="TYM393" s="66"/>
      <c r="TYN393" s="66"/>
      <c r="TYO393" s="66"/>
      <c r="TYP393" s="66"/>
      <c r="TYQ393" s="66"/>
      <c r="TYR393" s="66"/>
      <c r="TYS393" s="66"/>
      <c r="TYT393" s="66"/>
      <c r="TYU393" s="66"/>
      <c r="TYV393" s="66"/>
      <c r="TYW393" s="66"/>
      <c r="TYX393" s="66"/>
      <c r="TYY393" s="66"/>
      <c r="TYZ393" s="66"/>
      <c r="TZA393" s="66"/>
      <c r="TZB393" s="66"/>
      <c r="TZC393" s="66"/>
      <c r="TZD393" s="66"/>
      <c r="TZE393" s="66"/>
      <c r="TZF393" s="66"/>
      <c r="TZG393" s="66"/>
      <c r="TZH393" s="66"/>
      <c r="TZI393" s="66"/>
      <c r="TZJ393" s="66"/>
      <c r="TZK393" s="66"/>
      <c r="TZL393" s="66"/>
      <c r="TZM393" s="66"/>
      <c r="TZN393" s="66"/>
      <c r="TZO393" s="66"/>
      <c r="TZP393" s="66"/>
      <c r="TZQ393" s="66"/>
      <c r="TZR393" s="66"/>
      <c r="TZS393" s="66"/>
      <c r="TZT393" s="66"/>
      <c r="TZU393" s="66"/>
      <c r="TZV393" s="66"/>
      <c r="TZW393" s="66"/>
      <c r="TZX393" s="66"/>
      <c r="TZY393" s="66"/>
      <c r="TZZ393" s="66"/>
      <c r="UAA393" s="66"/>
      <c r="UAB393" s="66"/>
      <c r="UAC393" s="66"/>
      <c r="UAD393" s="66"/>
      <c r="UAE393" s="66"/>
      <c r="UAF393" s="66"/>
      <c r="UAG393" s="66"/>
      <c r="UAH393" s="66"/>
      <c r="UAI393" s="66"/>
      <c r="UAJ393" s="66"/>
      <c r="UAK393" s="66"/>
      <c r="UAL393" s="66"/>
      <c r="UAM393" s="66"/>
      <c r="UAN393" s="66"/>
      <c r="UAO393" s="66"/>
      <c r="UAP393" s="66"/>
      <c r="UAQ393" s="66"/>
      <c r="UAR393" s="66"/>
      <c r="UAS393" s="66"/>
      <c r="UAT393" s="66"/>
      <c r="UAU393" s="66"/>
      <c r="UAV393" s="66"/>
      <c r="UAW393" s="66"/>
      <c r="UAX393" s="66"/>
      <c r="UAY393" s="66"/>
      <c r="UAZ393" s="66"/>
      <c r="UBA393" s="66"/>
      <c r="UBB393" s="66"/>
      <c r="UBC393" s="66"/>
      <c r="UBD393" s="66"/>
      <c r="UBE393" s="66"/>
      <c r="UBF393" s="66"/>
      <c r="UBG393" s="66"/>
      <c r="UBH393" s="66"/>
      <c r="UBI393" s="66"/>
      <c r="UBJ393" s="66"/>
      <c r="UBK393" s="66"/>
      <c r="UBL393" s="66"/>
      <c r="UBM393" s="66"/>
      <c r="UBN393" s="66"/>
      <c r="UBO393" s="66"/>
      <c r="UBP393" s="66"/>
      <c r="UBQ393" s="66"/>
      <c r="UBR393" s="66"/>
      <c r="UBS393" s="66"/>
      <c r="UBT393" s="66"/>
      <c r="UBU393" s="66"/>
      <c r="UBV393" s="66"/>
      <c r="UBW393" s="66"/>
      <c r="UBX393" s="66"/>
      <c r="UBY393" s="66"/>
      <c r="UBZ393" s="66"/>
      <c r="UCA393" s="66"/>
      <c r="UCB393" s="66"/>
      <c r="UCC393" s="66"/>
      <c r="UCD393" s="66"/>
      <c r="UCE393" s="66"/>
      <c r="UCF393" s="66"/>
      <c r="UCG393" s="66"/>
      <c r="UCH393" s="66"/>
      <c r="UCI393" s="66"/>
      <c r="UCJ393" s="66"/>
      <c r="UCK393" s="66"/>
      <c r="UCL393" s="66"/>
      <c r="UCM393" s="66"/>
      <c r="UCN393" s="66"/>
      <c r="UCO393" s="66"/>
      <c r="UCP393" s="66"/>
      <c r="UCQ393" s="66"/>
      <c r="UCR393" s="66"/>
      <c r="UCS393" s="66"/>
      <c r="UCT393" s="66"/>
      <c r="UCU393" s="66"/>
      <c r="UCV393" s="66"/>
      <c r="UCW393" s="66"/>
      <c r="UCX393" s="66"/>
      <c r="UCY393" s="66"/>
      <c r="UCZ393" s="66"/>
      <c r="UDA393" s="66"/>
      <c r="UDB393" s="66"/>
      <c r="UDC393" s="66"/>
      <c r="UDD393" s="66"/>
      <c r="UDE393" s="66"/>
      <c r="UDF393" s="66"/>
      <c r="UDG393" s="66"/>
      <c r="UDH393" s="66"/>
      <c r="UDI393" s="66"/>
      <c r="UDJ393" s="66"/>
      <c r="UDK393" s="66"/>
      <c r="UDL393" s="66"/>
      <c r="UDM393" s="66"/>
      <c r="UDN393" s="66"/>
      <c r="UDO393" s="66"/>
      <c r="UDP393" s="66"/>
      <c r="UDQ393" s="66"/>
      <c r="UDR393" s="66"/>
      <c r="UDS393" s="66"/>
      <c r="UDT393" s="66"/>
      <c r="UDU393" s="66"/>
      <c r="UDV393" s="66"/>
      <c r="UDW393" s="66"/>
      <c r="UDX393" s="66"/>
      <c r="UDY393" s="66"/>
      <c r="UDZ393" s="66"/>
      <c r="UEA393" s="66"/>
      <c r="UEB393" s="66"/>
      <c r="UEC393" s="66"/>
      <c r="UED393" s="66"/>
      <c r="UEE393" s="66"/>
      <c r="UEF393" s="66"/>
      <c r="UEG393" s="66"/>
      <c r="UEH393" s="66"/>
      <c r="UEI393" s="66"/>
      <c r="UEJ393" s="66"/>
      <c r="UEK393" s="66"/>
      <c r="UEL393" s="66"/>
      <c r="UEM393" s="66"/>
      <c r="UEN393" s="66"/>
      <c r="UEO393" s="66"/>
      <c r="UEP393" s="66"/>
      <c r="UEQ393" s="66"/>
      <c r="UER393" s="66"/>
      <c r="UES393" s="66"/>
      <c r="UET393" s="66"/>
      <c r="UEU393" s="66"/>
      <c r="UEV393" s="66"/>
      <c r="UEW393" s="66"/>
      <c r="UEX393" s="66"/>
      <c r="UEY393" s="66"/>
      <c r="UEZ393" s="66"/>
      <c r="UFA393" s="66"/>
      <c r="UFB393" s="66"/>
      <c r="UFC393" s="66"/>
      <c r="UFD393" s="66"/>
      <c r="UFE393" s="66"/>
      <c r="UFF393" s="66"/>
      <c r="UFG393" s="66"/>
      <c r="UFH393" s="66"/>
      <c r="UFI393" s="66"/>
      <c r="UFJ393" s="66"/>
      <c r="UFK393" s="66"/>
      <c r="UFL393" s="66"/>
      <c r="UFM393" s="66"/>
      <c r="UFN393" s="66"/>
      <c r="UFO393" s="66"/>
      <c r="UFP393" s="66"/>
      <c r="UFQ393" s="66"/>
      <c r="UFR393" s="66"/>
      <c r="UFS393" s="66"/>
      <c r="UFT393" s="66"/>
      <c r="UFU393" s="66"/>
      <c r="UFV393" s="66"/>
      <c r="UFW393" s="66"/>
      <c r="UFX393" s="66"/>
      <c r="UFY393" s="66"/>
      <c r="UFZ393" s="66"/>
      <c r="UGA393" s="66"/>
      <c r="UGB393" s="66"/>
      <c r="UGC393" s="66"/>
      <c r="UGD393" s="66"/>
      <c r="UGE393" s="66"/>
      <c r="UGF393" s="66"/>
      <c r="UGG393" s="66"/>
      <c r="UGH393" s="66"/>
      <c r="UGI393" s="66"/>
      <c r="UGJ393" s="66"/>
      <c r="UGK393" s="66"/>
      <c r="UGL393" s="66"/>
      <c r="UGM393" s="66"/>
      <c r="UGN393" s="66"/>
      <c r="UGO393" s="66"/>
      <c r="UGP393" s="66"/>
      <c r="UGQ393" s="66"/>
      <c r="UGR393" s="66"/>
      <c r="UGS393" s="66"/>
      <c r="UGT393" s="66"/>
      <c r="UGU393" s="66"/>
      <c r="UGV393" s="66"/>
      <c r="UGW393" s="66"/>
      <c r="UGX393" s="66"/>
      <c r="UGY393" s="66"/>
      <c r="UGZ393" s="66"/>
      <c r="UHA393" s="66"/>
      <c r="UHB393" s="66"/>
      <c r="UHC393" s="66"/>
      <c r="UHD393" s="66"/>
      <c r="UHE393" s="66"/>
      <c r="UHF393" s="66"/>
      <c r="UHG393" s="66"/>
      <c r="UHH393" s="66"/>
      <c r="UHI393" s="66"/>
      <c r="UHJ393" s="66"/>
      <c r="UHK393" s="66"/>
      <c r="UHL393" s="66"/>
      <c r="UHM393" s="66"/>
      <c r="UHN393" s="66"/>
      <c r="UHO393" s="66"/>
      <c r="UHP393" s="66"/>
      <c r="UHQ393" s="66"/>
      <c r="UHR393" s="66"/>
      <c r="UHS393" s="66"/>
      <c r="UHT393" s="66"/>
      <c r="UHU393" s="66"/>
      <c r="UHV393" s="66"/>
      <c r="UHW393" s="66"/>
      <c r="UHX393" s="66"/>
      <c r="UHY393" s="66"/>
      <c r="UHZ393" s="66"/>
      <c r="UIA393" s="66"/>
      <c r="UIB393" s="66"/>
      <c r="UIC393" s="66"/>
      <c r="UID393" s="66"/>
      <c r="UIE393" s="66"/>
      <c r="UIF393" s="66"/>
      <c r="UIG393" s="66"/>
      <c r="UIH393" s="66"/>
      <c r="UII393" s="66"/>
      <c r="UIJ393" s="66"/>
      <c r="UIK393" s="66"/>
      <c r="UIL393" s="66"/>
      <c r="UIM393" s="66"/>
      <c r="UIN393" s="66"/>
      <c r="UIO393" s="66"/>
      <c r="UIP393" s="66"/>
      <c r="UIQ393" s="66"/>
      <c r="UIR393" s="66"/>
      <c r="UIS393" s="66"/>
      <c r="UIT393" s="66"/>
      <c r="UIU393" s="66"/>
      <c r="UIV393" s="66"/>
      <c r="UIW393" s="66"/>
      <c r="UIX393" s="66"/>
      <c r="UIY393" s="66"/>
      <c r="UIZ393" s="66"/>
      <c r="UJA393" s="66"/>
      <c r="UJB393" s="66"/>
      <c r="UJC393" s="66"/>
      <c r="UJD393" s="66"/>
      <c r="UJE393" s="66"/>
      <c r="UJF393" s="66"/>
      <c r="UJG393" s="66"/>
      <c r="UJH393" s="66"/>
      <c r="UJI393" s="66"/>
      <c r="UJJ393" s="66"/>
      <c r="UJK393" s="66"/>
      <c r="UJL393" s="66"/>
      <c r="UJM393" s="66"/>
      <c r="UJN393" s="66"/>
      <c r="UJO393" s="66"/>
      <c r="UJP393" s="66"/>
      <c r="UJQ393" s="66"/>
      <c r="UJR393" s="66"/>
      <c r="UJS393" s="66"/>
      <c r="UJT393" s="66"/>
      <c r="UJU393" s="66"/>
      <c r="UJV393" s="66"/>
      <c r="UJW393" s="66"/>
      <c r="UJX393" s="66"/>
      <c r="UJY393" s="66"/>
      <c r="UJZ393" s="66"/>
      <c r="UKA393" s="66"/>
      <c r="UKB393" s="66"/>
      <c r="UKC393" s="66"/>
      <c r="UKD393" s="66"/>
      <c r="UKE393" s="66"/>
      <c r="UKF393" s="66"/>
      <c r="UKG393" s="66"/>
      <c r="UKH393" s="66"/>
      <c r="UKI393" s="66"/>
      <c r="UKJ393" s="66"/>
      <c r="UKK393" s="66"/>
      <c r="UKL393" s="66"/>
      <c r="UKM393" s="66"/>
      <c r="UKN393" s="66"/>
      <c r="UKO393" s="66"/>
      <c r="UKP393" s="66"/>
      <c r="UKQ393" s="66"/>
      <c r="UKR393" s="66"/>
      <c r="UKS393" s="66"/>
      <c r="UKT393" s="66"/>
      <c r="UKU393" s="66"/>
      <c r="UKV393" s="66"/>
      <c r="UKW393" s="66"/>
      <c r="UKX393" s="66"/>
      <c r="UKY393" s="66"/>
      <c r="UKZ393" s="66"/>
      <c r="ULA393" s="66"/>
      <c r="ULB393" s="66"/>
      <c r="ULC393" s="66"/>
      <c r="ULD393" s="66"/>
      <c r="ULE393" s="66"/>
      <c r="ULF393" s="66"/>
      <c r="ULG393" s="66"/>
      <c r="ULH393" s="66"/>
      <c r="ULI393" s="66"/>
      <c r="ULJ393" s="66"/>
      <c r="ULK393" s="66"/>
      <c r="ULL393" s="66"/>
      <c r="ULM393" s="66"/>
      <c r="ULN393" s="66"/>
      <c r="ULO393" s="66"/>
      <c r="ULP393" s="66"/>
      <c r="ULQ393" s="66"/>
      <c r="ULR393" s="66"/>
      <c r="ULS393" s="66"/>
      <c r="ULT393" s="66"/>
      <c r="ULU393" s="66"/>
      <c r="ULV393" s="66"/>
      <c r="ULW393" s="66"/>
      <c r="ULX393" s="66"/>
      <c r="ULY393" s="66"/>
      <c r="ULZ393" s="66"/>
      <c r="UMA393" s="66"/>
      <c r="UMB393" s="66"/>
      <c r="UMC393" s="66"/>
      <c r="UMD393" s="66"/>
      <c r="UME393" s="66"/>
      <c r="UMF393" s="66"/>
      <c r="UMG393" s="66"/>
      <c r="UMH393" s="66"/>
      <c r="UMI393" s="66"/>
      <c r="UMJ393" s="66"/>
      <c r="UMK393" s="66"/>
      <c r="UML393" s="66"/>
      <c r="UMM393" s="66"/>
      <c r="UMN393" s="66"/>
      <c r="UMO393" s="66"/>
      <c r="UMP393" s="66"/>
      <c r="UMQ393" s="66"/>
      <c r="UMR393" s="66"/>
      <c r="UMS393" s="66"/>
      <c r="UMT393" s="66"/>
      <c r="UMU393" s="66"/>
      <c r="UMV393" s="66"/>
      <c r="UMW393" s="66"/>
      <c r="UMX393" s="66"/>
      <c r="UMY393" s="66"/>
      <c r="UMZ393" s="66"/>
      <c r="UNA393" s="66"/>
      <c r="UNB393" s="66"/>
      <c r="UNC393" s="66"/>
      <c r="UND393" s="66"/>
      <c r="UNE393" s="66"/>
      <c r="UNF393" s="66"/>
      <c r="UNG393" s="66"/>
      <c r="UNH393" s="66"/>
      <c r="UNI393" s="66"/>
      <c r="UNJ393" s="66"/>
      <c r="UNK393" s="66"/>
      <c r="UNL393" s="66"/>
      <c r="UNM393" s="66"/>
      <c r="UNN393" s="66"/>
      <c r="UNO393" s="66"/>
      <c r="UNP393" s="66"/>
      <c r="UNQ393" s="66"/>
      <c r="UNR393" s="66"/>
      <c r="UNS393" s="66"/>
      <c r="UNT393" s="66"/>
      <c r="UNU393" s="66"/>
      <c r="UNV393" s="66"/>
      <c r="UNW393" s="66"/>
      <c r="UNX393" s="66"/>
      <c r="UNY393" s="66"/>
      <c r="UNZ393" s="66"/>
      <c r="UOA393" s="66"/>
      <c r="UOB393" s="66"/>
      <c r="UOC393" s="66"/>
      <c r="UOD393" s="66"/>
      <c r="UOE393" s="66"/>
      <c r="UOF393" s="66"/>
      <c r="UOG393" s="66"/>
      <c r="UOH393" s="66"/>
      <c r="UOI393" s="66"/>
      <c r="UOJ393" s="66"/>
      <c r="UOK393" s="66"/>
      <c r="UOL393" s="66"/>
      <c r="UOM393" s="66"/>
      <c r="UON393" s="66"/>
      <c r="UOO393" s="66"/>
      <c r="UOP393" s="66"/>
      <c r="UOQ393" s="66"/>
      <c r="UOR393" s="66"/>
      <c r="UOS393" s="66"/>
      <c r="UOT393" s="66"/>
      <c r="UOU393" s="66"/>
      <c r="UOV393" s="66"/>
      <c r="UOW393" s="66"/>
      <c r="UOX393" s="66"/>
      <c r="UOY393" s="66"/>
      <c r="UOZ393" s="66"/>
      <c r="UPA393" s="66"/>
      <c r="UPB393" s="66"/>
      <c r="UPC393" s="66"/>
      <c r="UPD393" s="66"/>
      <c r="UPE393" s="66"/>
      <c r="UPF393" s="66"/>
      <c r="UPG393" s="66"/>
      <c r="UPH393" s="66"/>
      <c r="UPI393" s="66"/>
      <c r="UPJ393" s="66"/>
      <c r="UPK393" s="66"/>
      <c r="UPL393" s="66"/>
      <c r="UPM393" s="66"/>
      <c r="UPN393" s="66"/>
      <c r="UPO393" s="66"/>
      <c r="UPP393" s="66"/>
      <c r="UPQ393" s="66"/>
      <c r="UPR393" s="66"/>
      <c r="UPS393" s="66"/>
      <c r="UPT393" s="66"/>
      <c r="UPU393" s="66"/>
      <c r="UPV393" s="66"/>
      <c r="UPW393" s="66"/>
      <c r="UPX393" s="66"/>
      <c r="UPY393" s="66"/>
      <c r="UPZ393" s="66"/>
      <c r="UQA393" s="66"/>
      <c r="UQB393" s="66"/>
      <c r="UQC393" s="66"/>
      <c r="UQD393" s="66"/>
      <c r="UQE393" s="66"/>
      <c r="UQF393" s="66"/>
      <c r="UQG393" s="66"/>
      <c r="UQH393" s="66"/>
      <c r="UQI393" s="66"/>
      <c r="UQJ393" s="66"/>
      <c r="UQK393" s="66"/>
      <c r="UQL393" s="66"/>
      <c r="UQM393" s="66"/>
      <c r="UQN393" s="66"/>
      <c r="UQO393" s="66"/>
      <c r="UQP393" s="66"/>
      <c r="UQQ393" s="66"/>
      <c r="UQR393" s="66"/>
      <c r="UQS393" s="66"/>
      <c r="UQT393" s="66"/>
      <c r="UQU393" s="66"/>
      <c r="UQV393" s="66"/>
      <c r="UQW393" s="66"/>
      <c r="UQX393" s="66"/>
      <c r="UQY393" s="66"/>
      <c r="UQZ393" s="66"/>
      <c r="URA393" s="66"/>
      <c r="URB393" s="66"/>
      <c r="URC393" s="66"/>
      <c r="URD393" s="66"/>
      <c r="URE393" s="66"/>
      <c r="URF393" s="66"/>
      <c r="URG393" s="66"/>
      <c r="URH393" s="66"/>
      <c r="URI393" s="66"/>
      <c r="URJ393" s="66"/>
      <c r="URK393" s="66"/>
      <c r="URL393" s="66"/>
      <c r="URM393" s="66"/>
      <c r="URN393" s="66"/>
      <c r="URO393" s="66"/>
      <c r="URP393" s="66"/>
      <c r="URQ393" s="66"/>
      <c r="URR393" s="66"/>
      <c r="URS393" s="66"/>
      <c r="URT393" s="66"/>
      <c r="URU393" s="66"/>
      <c r="URV393" s="66"/>
      <c r="URW393" s="66"/>
      <c r="URX393" s="66"/>
      <c r="URY393" s="66"/>
      <c r="URZ393" s="66"/>
      <c r="USA393" s="66"/>
      <c r="USB393" s="66"/>
      <c r="USC393" s="66"/>
      <c r="USD393" s="66"/>
      <c r="USE393" s="66"/>
      <c r="USF393" s="66"/>
      <c r="USG393" s="66"/>
      <c r="USH393" s="66"/>
      <c r="USI393" s="66"/>
      <c r="USJ393" s="66"/>
      <c r="USK393" s="66"/>
      <c r="USL393" s="66"/>
      <c r="USM393" s="66"/>
      <c r="USN393" s="66"/>
      <c r="USO393" s="66"/>
      <c r="USP393" s="66"/>
      <c r="USQ393" s="66"/>
      <c r="USR393" s="66"/>
      <c r="USS393" s="66"/>
      <c r="UST393" s="66"/>
      <c r="USU393" s="66"/>
      <c r="USV393" s="66"/>
      <c r="USW393" s="66"/>
      <c r="USX393" s="66"/>
      <c r="USY393" s="66"/>
      <c r="USZ393" s="66"/>
      <c r="UTA393" s="66"/>
      <c r="UTB393" s="66"/>
      <c r="UTC393" s="66"/>
      <c r="UTD393" s="66"/>
      <c r="UTE393" s="66"/>
      <c r="UTF393" s="66"/>
      <c r="UTG393" s="66"/>
      <c r="UTH393" s="66"/>
      <c r="UTI393" s="66"/>
      <c r="UTJ393" s="66"/>
      <c r="UTK393" s="66"/>
      <c r="UTL393" s="66"/>
      <c r="UTM393" s="66"/>
      <c r="UTN393" s="66"/>
      <c r="UTO393" s="66"/>
      <c r="UTP393" s="66"/>
      <c r="UTQ393" s="66"/>
      <c r="UTR393" s="66"/>
      <c r="UTS393" s="66"/>
      <c r="UTT393" s="66"/>
      <c r="UTU393" s="66"/>
      <c r="UTV393" s="66"/>
      <c r="UTW393" s="66"/>
      <c r="UTX393" s="66"/>
      <c r="UTY393" s="66"/>
      <c r="UTZ393" s="66"/>
      <c r="UUA393" s="66"/>
      <c r="UUB393" s="66"/>
      <c r="UUC393" s="66"/>
      <c r="UUD393" s="66"/>
      <c r="UUE393" s="66"/>
      <c r="UUF393" s="66"/>
      <c r="UUG393" s="66"/>
      <c r="UUH393" s="66"/>
      <c r="UUI393" s="66"/>
      <c r="UUJ393" s="66"/>
      <c r="UUK393" s="66"/>
      <c r="UUL393" s="66"/>
      <c r="UUM393" s="66"/>
      <c r="UUN393" s="66"/>
      <c r="UUO393" s="66"/>
      <c r="UUP393" s="66"/>
      <c r="UUQ393" s="66"/>
      <c r="UUR393" s="66"/>
      <c r="UUS393" s="66"/>
      <c r="UUT393" s="66"/>
      <c r="UUU393" s="66"/>
      <c r="UUV393" s="66"/>
      <c r="UUW393" s="66"/>
      <c r="UUX393" s="66"/>
      <c r="UUY393" s="66"/>
      <c r="UUZ393" s="66"/>
      <c r="UVA393" s="66"/>
      <c r="UVB393" s="66"/>
      <c r="UVC393" s="66"/>
      <c r="UVD393" s="66"/>
      <c r="UVE393" s="66"/>
      <c r="UVF393" s="66"/>
      <c r="UVG393" s="66"/>
      <c r="UVH393" s="66"/>
      <c r="UVI393" s="66"/>
      <c r="UVJ393" s="66"/>
      <c r="UVK393" s="66"/>
      <c r="UVL393" s="66"/>
      <c r="UVM393" s="66"/>
      <c r="UVN393" s="66"/>
      <c r="UVO393" s="66"/>
      <c r="UVP393" s="66"/>
      <c r="UVQ393" s="66"/>
      <c r="UVR393" s="66"/>
      <c r="UVS393" s="66"/>
      <c r="UVT393" s="66"/>
      <c r="UVU393" s="66"/>
      <c r="UVV393" s="66"/>
      <c r="UVW393" s="66"/>
      <c r="UVX393" s="66"/>
      <c r="UVY393" s="66"/>
      <c r="UVZ393" s="66"/>
      <c r="UWA393" s="66"/>
      <c r="UWB393" s="66"/>
      <c r="UWC393" s="66"/>
      <c r="UWD393" s="66"/>
      <c r="UWE393" s="66"/>
      <c r="UWF393" s="66"/>
      <c r="UWG393" s="66"/>
      <c r="UWH393" s="66"/>
      <c r="UWI393" s="66"/>
      <c r="UWJ393" s="66"/>
      <c r="UWK393" s="66"/>
      <c r="UWL393" s="66"/>
      <c r="UWM393" s="66"/>
      <c r="UWN393" s="66"/>
      <c r="UWO393" s="66"/>
      <c r="UWP393" s="66"/>
      <c r="UWQ393" s="66"/>
      <c r="UWR393" s="66"/>
      <c r="UWS393" s="66"/>
      <c r="UWT393" s="66"/>
      <c r="UWU393" s="66"/>
      <c r="UWV393" s="66"/>
      <c r="UWW393" s="66"/>
      <c r="UWX393" s="66"/>
      <c r="UWY393" s="66"/>
      <c r="UWZ393" s="66"/>
      <c r="UXA393" s="66"/>
      <c r="UXB393" s="66"/>
      <c r="UXC393" s="66"/>
      <c r="UXD393" s="66"/>
      <c r="UXE393" s="66"/>
      <c r="UXF393" s="66"/>
      <c r="UXG393" s="66"/>
      <c r="UXH393" s="66"/>
      <c r="UXI393" s="66"/>
      <c r="UXJ393" s="66"/>
      <c r="UXK393" s="66"/>
      <c r="UXL393" s="66"/>
      <c r="UXM393" s="66"/>
      <c r="UXN393" s="66"/>
      <c r="UXO393" s="66"/>
      <c r="UXP393" s="66"/>
      <c r="UXQ393" s="66"/>
      <c r="UXR393" s="66"/>
      <c r="UXS393" s="66"/>
      <c r="UXT393" s="66"/>
      <c r="UXU393" s="66"/>
      <c r="UXV393" s="66"/>
      <c r="UXW393" s="66"/>
      <c r="UXX393" s="66"/>
      <c r="UXY393" s="66"/>
      <c r="UXZ393" s="66"/>
      <c r="UYA393" s="66"/>
      <c r="UYB393" s="66"/>
      <c r="UYC393" s="66"/>
      <c r="UYD393" s="66"/>
      <c r="UYE393" s="66"/>
      <c r="UYF393" s="66"/>
      <c r="UYG393" s="66"/>
      <c r="UYH393" s="66"/>
      <c r="UYI393" s="66"/>
      <c r="UYJ393" s="66"/>
      <c r="UYK393" s="66"/>
      <c r="UYL393" s="66"/>
      <c r="UYM393" s="66"/>
      <c r="UYN393" s="66"/>
      <c r="UYO393" s="66"/>
      <c r="UYP393" s="66"/>
      <c r="UYQ393" s="66"/>
      <c r="UYR393" s="66"/>
      <c r="UYS393" s="66"/>
      <c r="UYT393" s="66"/>
      <c r="UYU393" s="66"/>
      <c r="UYV393" s="66"/>
      <c r="UYW393" s="66"/>
      <c r="UYX393" s="66"/>
      <c r="UYY393" s="66"/>
      <c r="UYZ393" s="66"/>
      <c r="UZA393" s="66"/>
      <c r="UZB393" s="66"/>
      <c r="UZC393" s="66"/>
      <c r="UZD393" s="66"/>
      <c r="UZE393" s="66"/>
      <c r="UZF393" s="66"/>
      <c r="UZG393" s="66"/>
      <c r="UZH393" s="66"/>
      <c r="UZI393" s="66"/>
      <c r="UZJ393" s="66"/>
      <c r="UZK393" s="66"/>
      <c r="UZL393" s="66"/>
      <c r="UZM393" s="66"/>
      <c r="UZN393" s="66"/>
      <c r="UZO393" s="66"/>
      <c r="UZP393" s="66"/>
      <c r="UZQ393" s="66"/>
      <c r="UZR393" s="66"/>
      <c r="UZS393" s="66"/>
      <c r="UZT393" s="66"/>
      <c r="UZU393" s="66"/>
      <c r="UZV393" s="66"/>
      <c r="UZW393" s="66"/>
      <c r="UZX393" s="66"/>
      <c r="UZY393" s="66"/>
      <c r="UZZ393" s="66"/>
      <c r="VAA393" s="66"/>
      <c r="VAB393" s="66"/>
      <c r="VAC393" s="66"/>
      <c r="VAD393" s="66"/>
      <c r="VAE393" s="66"/>
      <c r="VAF393" s="66"/>
      <c r="VAG393" s="66"/>
      <c r="VAH393" s="66"/>
      <c r="VAI393" s="66"/>
      <c r="VAJ393" s="66"/>
      <c r="VAK393" s="66"/>
      <c r="VAL393" s="66"/>
      <c r="VAM393" s="66"/>
      <c r="VAN393" s="66"/>
      <c r="VAO393" s="66"/>
      <c r="VAP393" s="66"/>
      <c r="VAQ393" s="66"/>
      <c r="VAR393" s="66"/>
      <c r="VAS393" s="66"/>
      <c r="VAT393" s="66"/>
      <c r="VAU393" s="66"/>
      <c r="VAV393" s="66"/>
      <c r="VAW393" s="66"/>
      <c r="VAX393" s="66"/>
      <c r="VAY393" s="66"/>
      <c r="VAZ393" s="66"/>
      <c r="VBA393" s="66"/>
      <c r="VBB393" s="66"/>
      <c r="VBC393" s="66"/>
      <c r="VBD393" s="66"/>
      <c r="VBE393" s="66"/>
      <c r="VBF393" s="66"/>
      <c r="VBG393" s="66"/>
      <c r="VBH393" s="66"/>
      <c r="VBI393" s="66"/>
      <c r="VBJ393" s="66"/>
      <c r="VBK393" s="66"/>
      <c r="VBL393" s="66"/>
      <c r="VBM393" s="66"/>
      <c r="VBN393" s="66"/>
      <c r="VBO393" s="66"/>
      <c r="VBP393" s="66"/>
      <c r="VBQ393" s="66"/>
      <c r="VBR393" s="66"/>
      <c r="VBS393" s="66"/>
      <c r="VBT393" s="66"/>
      <c r="VBU393" s="66"/>
      <c r="VBV393" s="66"/>
      <c r="VBW393" s="66"/>
      <c r="VBX393" s="66"/>
      <c r="VBY393" s="66"/>
      <c r="VBZ393" s="66"/>
      <c r="VCA393" s="66"/>
      <c r="VCB393" s="66"/>
      <c r="VCC393" s="66"/>
      <c r="VCD393" s="66"/>
      <c r="VCE393" s="66"/>
      <c r="VCF393" s="66"/>
      <c r="VCG393" s="66"/>
      <c r="VCH393" s="66"/>
      <c r="VCI393" s="66"/>
      <c r="VCJ393" s="66"/>
      <c r="VCK393" s="66"/>
      <c r="VCL393" s="66"/>
      <c r="VCM393" s="66"/>
      <c r="VCN393" s="66"/>
      <c r="VCO393" s="66"/>
      <c r="VCP393" s="66"/>
      <c r="VCQ393" s="66"/>
      <c r="VCR393" s="66"/>
      <c r="VCS393" s="66"/>
      <c r="VCT393" s="66"/>
      <c r="VCU393" s="66"/>
      <c r="VCV393" s="66"/>
      <c r="VCW393" s="66"/>
      <c r="VCX393" s="66"/>
      <c r="VCY393" s="66"/>
      <c r="VCZ393" s="66"/>
      <c r="VDA393" s="66"/>
      <c r="VDB393" s="66"/>
      <c r="VDC393" s="66"/>
      <c r="VDD393" s="66"/>
      <c r="VDE393" s="66"/>
      <c r="VDF393" s="66"/>
      <c r="VDG393" s="66"/>
      <c r="VDH393" s="66"/>
      <c r="VDI393" s="66"/>
      <c r="VDJ393" s="66"/>
      <c r="VDK393" s="66"/>
      <c r="VDL393" s="66"/>
      <c r="VDM393" s="66"/>
      <c r="VDN393" s="66"/>
      <c r="VDO393" s="66"/>
      <c r="VDP393" s="66"/>
      <c r="VDQ393" s="66"/>
      <c r="VDR393" s="66"/>
      <c r="VDS393" s="66"/>
      <c r="VDT393" s="66"/>
      <c r="VDU393" s="66"/>
      <c r="VDV393" s="66"/>
      <c r="VDW393" s="66"/>
      <c r="VDX393" s="66"/>
      <c r="VDY393" s="66"/>
      <c r="VDZ393" s="66"/>
      <c r="VEA393" s="66"/>
      <c r="VEB393" s="66"/>
      <c r="VEC393" s="66"/>
      <c r="VED393" s="66"/>
      <c r="VEE393" s="66"/>
      <c r="VEF393" s="66"/>
      <c r="VEG393" s="66"/>
      <c r="VEH393" s="66"/>
      <c r="VEI393" s="66"/>
      <c r="VEJ393" s="66"/>
      <c r="VEK393" s="66"/>
      <c r="VEL393" s="66"/>
      <c r="VEM393" s="66"/>
      <c r="VEN393" s="66"/>
      <c r="VEO393" s="66"/>
      <c r="VEP393" s="66"/>
      <c r="VEQ393" s="66"/>
      <c r="VER393" s="66"/>
      <c r="VES393" s="66"/>
      <c r="VET393" s="66"/>
      <c r="VEU393" s="66"/>
      <c r="VEV393" s="66"/>
      <c r="VEW393" s="66"/>
      <c r="VEX393" s="66"/>
      <c r="VEY393" s="66"/>
      <c r="VEZ393" s="66"/>
      <c r="VFA393" s="66"/>
      <c r="VFB393" s="66"/>
      <c r="VFC393" s="66"/>
      <c r="VFD393" s="66"/>
      <c r="VFE393" s="66"/>
      <c r="VFF393" s="66"/>
      <c r="VFG393" s="66"/>
      <c r="VFH393" s="66"/>
      <c r="VFI393" s="66"/>
      <c r="VFJ393" s="66"/>
      <c r="VFK393" s="66"/>
      <c r="VFL393" s="66"/>
      <c r="VFM393" s="66"/>
      <c r="VFN393" s="66"/>
      <c r="VFO393" s="66"/>
      <c r="VFP393" s="66"/>
      <c r="VFQ393" s="66"/>
      <c r="VFR393" s="66"/>
      <c r="VFS393" s="66"/>
      <c r="VFT393" s="66"/>
      <c r="VFU393" s="66"/>
      <c r="VFV393" s="66"/>
      <c r="VFW393" s="66"/>
      <c r="VFX393" s="66"/>
      <c r="VFY393" s="66"/>
      <c r="VFZ393" s="66"/>
      <c r="VGA393" s="66"/>
      <c r="VGB393" s="66"/>
      <c r="VGC393" s="66"/>
      <c r="VGD393" s="66"/>
      <c r="VGE393" s="66"/>
      <c r="VGF393" s="66"/>
      <c r="VGG393" s="66"/>
      <c r="VGH393" s="66"/>
      <c r="VGI393" s="66"/>
      <c r="VGJ393" s="66"/>
      <c r="VGK393" s="66"/>
      <c r="VGL393" s="66"/>
      <c r="VGM393" s="66"/>
      <c r="VGN393" s="66"/>
      <c r="VGO393" s="66"/>
      <c r="VGP393" s="66"/>
      <c r="VGQ393" s="66"/>
      <c r="VGR393" s="66"/>
      <c r="VGS393" s="66"/>
      <c r="VGT393" s="66"/>
      <c r="VGU393" s="66"/>
      <c r="VGV393" s="66"/>
      <c r="VGW393" s="66"/>
      <c r="VGX393" s="66"/>
      <c r="VGY393" s="66"/>
      <c r="VGZ393" s="66"/>
      <c r="VHA393" s="66"/>
      <c r="VHB393" s="66"/>
      <c r="VHC393" s="66"/>
      <c r="VHD393" s="66"/>
      <c r="VHE393" s="66"/>
      <c r="VHF393" s="66"/>
      <c r="VHG393" s="66"/>
      <c r="VHH393" s="66"/>
      <c r="VHI393" s="66"/>
      <c r="VHJ393" s="66"/>
      <c r="VHK393" s="66"/>
      <c r="VHL393" s="66"/>
      <c r="VHM393" s="66"/>
      <c r="VHN393" s="66"/>
      <c r="VHO393" s="66"/>
      <c r="VHP393" s="66"/>
      <c r="VHQ393" s="66"/>
      <c r="VHR393" s="66"/>
      <c r="VHS393" s="66"/>
      <c r="VHT393" s="66"/>
      <c r="VHU393" s="66"/>
      <c r="VHV393" s="66"/>
      <c r="VHW393" s="66"/>
      <c r="VHX393" s="66"/>
      <c r="VHY393" s="66"/>
      <c r="VHZ393" s="66"/>
      <c r="VIA393" s="66"/>
      <c r="VIB393" s="66"/>
      <c r="VIC393" s="66"/>
      <c r="VID393" s="66"/>
      <c r="VIE393" s="66"/>
      <c r="VIF393" s="66"/>
      <c r="VIG393" s="66"/>
      <c r="VIH393" s="66"/>
      <c r="VII393" s="66"/>
      <c r="VIJ393" s="66"/>
      <c r="VIK393" s="66"/>
      <c r="VIL393" s="66"/>
      <c r="VIM393" s="66"/>
      <c r="VIN393" s="66"/>
      <c r="VIO393" s="66"/>
      <c r="VIP393" s="66"/>
      <c r="VIQ393" s="66"/>
      <c r="VIR393" s="66"/>
      <c r="VIS393" s="66"/>
      <c r="VIT393" s="66"/>
      <c r="VIU393" s="66"/>
      <c r="VIV393" s="66"/>
      <c r="VIW393" s="66"/>
      <c r="VIX393" s="66"/>
      <c r="VIY393" s="66"/>
      <c r="VIZ393" s="66"/>
      <c r="VJA393" s="66"/>
      <c r="VJB393" s="66"/>
      <c r="VJC393" s="66"/>
      <c r="VJD393" s="66"/>
      <c r="VJE393" s="66"/>
      <c r="VJF393" s="66"/>
      <c r="VJG393" s="66"/>
      <c r="VJH393" s="66"/>
      <c r="VJI393" s="66"/>
      <c r="VJJ393" s="66"/>
      <c r="VJK393" s="66"/>
      <c r="VJL393" s="66"/>
      <c r="VJM393" s="66"/>
      <c r="VJN393" s="66"/>
      <c r="VJO393" s="66"/>
      <c r="VJP393" s="66"/>
      <c r="VJQ393" s="66"/>
      <c r="VJR393" s="66"/>
      <c r="VJS393" s="66"/>
      <c r="VJT393" s="66"/>
      <c r="VJU393" s="66"/>
      <c r="VJV393" s="66"/>
      <c r="VJW393" s="66"/>
      <c r="VJX393" s="66"/>
      <c r="VJY393" s="66"/>
      <c r="VJZ393" s="66"/>
      <c r="VKA393" s="66"/>
      <c r="VKB393" s="66"/>
      <c r="VKC393" s="66"/>
      <c r="VKD393" s="66"/>
      <c r="VKE393" s="66"/>
      <c r="VKF393" s="66"/>
      <c r="VKG393" s="66"/>
      <c r="VKH393" s="66"/>
      <c r="VKI393" s="66"/>
      <c r="VKJ393" s="66"/>
      <c r="VKK393" s="66"/>
      <c r="VKL393" s="66"/>
      <c r="VKM393" s="66"/>
      <c r="VKN393" s="66"/>
      <c r="VKO393" s="66"/>
      <c r="VKP393" s="66"/>
      <c r="VKQ393" s="66"/>
      <c r="VKR393" s="66"/>
      <c r="VKS393" s="66"/>
      <c r="VKT393" s="66"/>
      <c r="VKU393" s="66"/>
      <c r="VKV393" s="66"/>
      <c r="VKW393" s="66"/>
      <c r="VKX393" s="66"/>
      <c r="VKY393" s="66"/>
      <c r="VKZ393" s="66"/>
      <c r="VLA393" s="66"/>
      <c r="VLB393" s="66"/>
      <c r="VLC393" s="66"/>
      <c r="VLD393" s="66"/>
      <c r="VLE393" s="66"/>
      <c r="VLF393" s="66"/>
      <c r="VLG393" s="66"/>
      <c r="VLH393" s="66"/>
      <c r="VLI393" s="66"/>
      <c r="VLJ393" s="66"/>
      <c r="VLK393" s="66"/>
      <c r="VLL393" s="66"/>
      <c r="VLM393" s="66"/>
      <c r="VLN393" s="66"/>
      <c r="VLO393" s="66"/>
      <c r="VLP393" s="66"/>
      <c r="VLQ393" s="66"/>
      <c r="VLR393" s="66"/>
      <c r="VLS393" s="66"/>
      <c r="VLT393" s="66"/>
      <c r="VLU393" s="66"/>
      <c r="VLV393" s="66"/>
      <c r="VLW393" s="66"/>
      <c r="VLX393" s="66"/>
      <c r="VLY393" s="66"/>
      <c r="VLZ393" s="66"/>
      <c r="VMA393" s="66"/>
      <c r="VMB393" s="66"/>
      <c r="VMC393" s="66"/>
      <c r="VMD393" s="66"/>
      <c r="VME393" s="66"/>
      <c r="VMF393" s="66"/>
      <c r="VMG393" s="66"/>
      <c r="VMH393" s="66"/>
      <c r="VMI393" s="66"/>
      <c r="VMJ393" s="66"/>
      <c r="VMK393" s="66"/>
      <c r="VML393" s="66"/>
      <c r="VMM393" s="66"/>
      <c r="VMN393" s="66"/>
      <c r="VMO393" s="66"/>
      <c r="VMP393" s="66"/>
      <c r="VMQ393" s="66"/>
      <c r="VMR393" s="66"/>
      <c r="VMS393" s="66"/>
      <c r="VMT393" s="66"/>
      <c r="VMU393" s="66"/>
      <c r="VMV393" s="66"/>
      <c r="VMW393" s="66"/>
      <c r="VMX393" s="66"/>
      <c r="VMY393" s="66"/>
      <c r="VMZ393" s="66"/>
      <c r="VNA393" s="66"/>
      <c r="VNB393" s="66"/>
      <c r="VNC393" s="66"/>
      <c r="VND393" s="66"/>
      <c r="VNE393" s="66"/>
      <c r="VNF393" s="66"/>
      <c r="VNG393" s="66"/>
      <c r="VNH393" s="66"/>
      <c r="VNI393" s="66"/>
      <c r="VNJ393" s="66"/>
      <c r="VNK393" s="66"/>
      <c r="VNL393" s="66"/>
      <c r="VNM393" s="66"/>
      <c r="VNN393" s="66"/>
      <c r="VNO393" s="66"/>
      <c r="VNP393" s="66"/>
      <c r="VNQ393" s="66"/>
      <c r="VNR393" s="66"/>
      <c r="VNS393" s="66"/>
      <c r="VNT393" s="66"/>
      <c r="VNU393" s="66"/>
      <c r="VNV393" s="66"/>
      <c r="VNW393" s="66"/>
      <c r="VNX393" s="66"/>
      <c r="VNY393" s="66"/>
      <c r="VNZ393" s="66"/>
      <c r="VOA393" s="66"/>
      <c r="VOB393" s="66"/>
      <c r="VOC393" s="66"/>
      <c r="VOD393" s="66"/>
      <c r="VOE393" s="66"/>
      <c r="VOF393" s="66"/>
      <c r="VOG393" s="66"/>
      <c r="VOH393" s="66"/>
      <c r="VOI393" s="66"/>
      <c r="VOJ393" s="66"/>
      <c r="VOK393" s="66"/>
      <c r="VOL393" s="66"/>
      <c r="VOM393" s="66"/>
      <c r="VON393" s="66"/>
      <c r="VOO393" s="66"/>
      <c r="VOP393" s="66"/>
      <c r="VOQ393" s="66"/>
      <c r="VOR393" s="66"/>
      <c r="VOS393" s="66"/>
      <c r="VOT393" s="66"/>
      <c r="VOU393" s="66"/>
      <c r="VOV393" s="66"/>
      <c r="VOW393" s="66"/>
      <c r="VOX393" s="66"/>
      <c r="VOY393" s="66"/>
      <c r="VOZ393" s="66"/>
      <c r="VPA393" s="66"/>
      <c r="VPB393" s="66"/>
      <c r="VPC393" s="66"/>
      <c r="VPD393" s="66"/>
      <c r="VPE393" s="66"/>
      <c r="VPF393" s="66"/>
      <c r="VPG393" s="66"/>
      <c r="VPH393" s="66"/>
      <c r="VPI393" s="66"/>
      <c r="VPJ393" s="66"/>
      <c r="VPK393" s="66"/>
      <c r="VPL393" s="66"/>
      <c r="VPM393" s="66"/>
      <c r="VPN393" s="66"/>
      <c r="VPO393" s="66"/>
      <c r="VPP393" s="66"/>
      <c r="VPQ393" s="66"/>
      <c r="VPR393" s="66"/>
      <c r="VPS393" s="66"/>
      <c r="VPT393" s="66"/>
      <c r="VPU393" s="66"/>
      <c r="VPV393" s="66"/>
      <c r="VPW393" s="66"/>
      <c r="VPX393" s="66"/>
      <c r="VPY393" s="66"/>
      <c r="VPZ393" s="66"/>
      <c r="VQA393" s="66"/>
      <c r="VQB393" s="66"/>
      <c r="VQC393" s="66"/>
      <c r="VQD393" s="66"/>
      <c r="VQE393" s="66"/>
      <c r="VQF393" s="66"/>
      <c r="VQG393" s="66"/>
      <c r="VQH393" s="66"/>
      <c r="VQI393" s="66"/>
      <c r="VQJ393" s="66"/>
      <c r="VQK393" s="66"/>
      <c r="VQL393" s="66"/>
      <c r="VQM393" s="66"/>
      <c r="VQN393" s="66"/>
      <c r="VQO393" s="66"/>
      <c r="VQP393" s="66"/>
      <c r="VQQ393" s="66"/>
      <c r="VQR393" s="66"/>
      <c r="VQS393" s="66"/>
      <c r="VQT393" s="66"/>
      <c r="VQU393" s="66"/>
      <c r="VQV393" s="66"/>
      <c r="VQW393" s="66"/>
      <c r="VQX393" s="66"/>
      <c r="VQY393" s="66"/>
      <c r="VQZ393" s="66"/>
      <c r="VRA393" s="66"/>
      <c r="VRB393" s="66"/>
      <c r="VRC393" s="66"/>
      <c r="VRD393" s="66"/>
      <c r="VRE393" s="66"/>
      <c r="VRF393" s="66"/>
      <c r="VRG393" s="66"/>
      <c r="VRH393" s="66"/>
      <c r="VRI393" s="66"/>
      <c r="VRJ393" s="66"/>
      <c r="VRK393" s="66"/>
      <c r="VRL393" s="66"/>
      <c r="VRM393" s="66"/>
      <c r="VRN393" s="66"/>
      <c r="VRO393" s="66"/>
      <c r="VRP393" s="66"/>
      <c r="VRQ393" s="66"/>
      <c r="VRR393" s="66"/>
      <c r="VRS393" s="66"/>
      <c r="VRT393" s="66"/>
      <c r="VRU393" s="66"/>
      <c r="VRV393" s="66"/>
      <c r="VRW393" s="66"/>
      <c r="VRX393" s="66"/>
      <c r="VRY393" s="66"/>
      <c r="VRZ393" s="66"/>
      <c r="VSA393" s="66"/>
      <c r="VSB393" s="66"/>
      <c r="VSC393" s="66"/>
      <c r="VSD393" s="66"/>
      <c r="VSE393" s="66"/>
      <c r="VSF393" s="66"/>
      <c r="VSG393" s="66"/>
      <c r="VSH393" s="66"/>
      <c r="VSI393" s="66"/>
      <c r="VSJ393" s="66"/>
      <c r="VSK393" s="66"/>
      <c r="VSL393" s="66"/>
      <c r="VSM393" s="66"/>
      <c r="VSN393" s="66"/>
      <c r="VSO393" s="66"/>
      <c r="VSP393" s="66"/>
      <c r="VSQ393" s="66"/>
      <c r="VSR393" s="66"/>
      <c r="VSS393" s="66"/>
      <c r="VST393" s="66"/>
      <c r="VSU393" s="66"/>
      <c r="VSV393" s="66"/>
      <c r="VSW393" s="66"/>
      <c r="VSX393" s="66"/>
      <c r="VSY393" s="66"/>
      <c r="VSZ393" s="66"/>
      <c r="VTA393" s="66"/>
      <c r="VTB393" s="66"/>
      <c r="VTC393" s="66"/>
      <c r="VTD393" s="66"/>
      <c r="VTE393" s="66"/>
      <c r="VTF393" s="66"/>
      <c r="VTG393" s="66"/>
      <c r="VTH393" s="66"/>
      <c r="VTI393" s="66"/>
      <c r="VTJ393" s="66"/>
      <c r="VTK393" s="66"/>
      <c r="VTL393" s="66"/>
      <c r="VTM393" s="66"/>
      <c r="VTN393" s="66"/>
      <c r="VTO393" s="66"/>
      <c r="VTP393" s="66"/>
      <c r="VTQ393" s="66"/>
      <c r="VTR393" s="66"/>
      <c r="VTS393" s="66"/>
      <c r="VTT393" s="66"/>
      <c r="VTU393" s="66"/>
      <c r="VTV393" s="66"/>
      <c r="VTW393" s="66"/>
      <c r="VTX393" s="66"/>
      <c r="VTY393" s="66"/>
      <c r="VTZ393" s="66"/>
      <c r="VUA393" s="66"/>
      <c r="VUB393" s="66"/>
      <c r="VUC393" s="66"/>
      <c r="VUD393" s="66"/>
      <c r="VUE393" s="66"/>
      <c r="VUF393" s="66"/>
      <c r="VUG393" s="66"/>
      <c r="VUH393" s="66"/>
      <c r="VUI393" s="66"/>
      <c r="VUJ393" s="66"/>
      <c r="VUK393" s="66"/>
      <c r="VUL393" s="66"/>
      <c r="VUM393" s="66"/>
      <c r="VUN393" s="66"/>
      <c r="VUO393" s="66"/>
      <c r="VUP393" s="66"/>
      <c r="VUQ393" s="66"/>
      <c r="VUR393" s="66"/>
      <c r="VUS393" s="66"/>
      <c r="VUT393" s="66"/>
      <c r="VUU393" s="66"/>
      <c r="VUV393" s="66"/>
      <c r="VUW393" s="66"/>
      <c r="VUX393" s="66"/>
      <c r="VUY393" s="66"/>
      <c r="VUZ393" s="66"/>
      <c r="VVA393" s="66"/>
      <c r="VVB393" s="66"/>
      <c r="VVC393" s="66"/>
      <c r="VVD393" s="66"/>
      <c r="VVE393" s="66"/>
      <c r="VVF393" s="66"/>
      <c r="VVG393" s="66"/>
      <c r="VVH393" s="66"/>
      <c r="VVI393" s="66"/>
      <c r="VVJ393" s="66"/>
      <c r="VVK393" s="66"/>
      <c r="VVL393" s="66"/>
      <c r="VVM393" s="66"/>
      <c r="VVN393" s="66"/>
      <c r="VVO393" s="66"/>
      <c r="VVP393" s="66"/>
      <c r="VVQ393" s="66"/>
      <c r="VVR393" s="66"/>
      <c r="VVS393" s="66"/>
      <c r="VVT393" s="66"/>
      <c r="VVU393" s="66"/>
      <c r="VVV393" s="66"/>
      <c r="VVW393" s="66"/>
      <c r="VVX393" s="66"/>
      <c r="VVY393" s="66"/>
      <c r="VVZ393" s="66"/>
      <c r="VWA393" s="66"/>
      <c r="VWB393" s="66"/>
      <c r="VWC393" s="66"/>
      <c r="VWD393" s="66"/>
      <c r="VWE393" s="66"/>
      <c r="VWF393" s="66"/>
      <c r="VWG393" s="66"/>
      <c r="VWH393" s="66"/>
      <c r="VWI393" s="66"/>
      <c r="VWJ393" s="66"/>
      <c r="VWK393" s="66"/>
      <c r="VWL393" s="66"/>
      <c r="VWM393" s="66"/>
      <c r="VWN393" s="66"/>
      <c r="VWO393" s="66"/>
      <c r="VWP393" s="66"/>
      <c r="VWQ393" s="66"/>
      <c r="VWR393" s="66"/>
      <c r="VWS393" s="66"/>
      <c r="VWT393" s="66"/>
      <c r="VWU393" s="66"/>
      <c r="VWV393" s="66"/>
      <c r="VWW393" s="66"/>
      <c r="VWX393" s="66"/>
      <c r="VWY393" s="66"/>
      <c r="VWZ393" s="66"/>
      <c r="VXA393" s="66"/>
      <c r="VXB393" s="66"/>
      <c r="VXC393" s="66"/>
      <c r="VXD393" s="66"/>
      <c r="VXE393" s="66"/>
      <c r="VXF393" s="66"/>
      <c r="VXG393" s="66"/>
      <c r="VXH393" s="66"/>
      <c r="VXI393" s="66"/>
      <c r="VXJ393" s="66"/>
      <c r="VXK393" s="66"/>
      <c r="VXL393" s="66"/>
      <c r="VXM393" s="66"/>
      <c r="VXN393" s="66"/>
      <c r="VXO393" s="66"/>
      <c r="VXP393" s="66"/>
      <c r="VXQ393" s="66"/>
      <c r="VXR393" s="66"/>
      <c r="VXS393" s="66"/>
      <c r="VXT393" s="66"/>
      <c r="VXU393" s="66"/>
      <c r="VXV393" s="66"/>
      <c r="VXW393" s="66"/>
      <c r="VXX393" s="66"/>
      <c r="VXY393" s="66"/>
      <c r="VXZ393" s="66"/>
      <c r="VYA393" s="66"/>
      <c r="VYB393" s="66"/>
      <c r="VYC393" s="66"/>
      <c r="VYD393" s="66"/>
      <c r="VYE393" s="66"/>
      <c r="VYF393" s="66"/>
      <c r="VYG393" s="66"/>
      <c r="VYH393" s="66"/>
      <c r="VYI393" s="66"/>
      <c r="VYJ393" s="66"/>
      <c r="VYK393" s="66"/>
      <c r="VYL393" s="66"/>
      <c r="VYM393" s="66"/>
      <c r="VYN393" s="66"/>
      <c r="VYO393" s="66"/>
      <c r="VYP393" s="66"/>
      <c r="VYQ393" s="66"/>
      <c r="VYR393" s="66"/>
      <c r="VYS393" s="66"/>
      <c r="VYT393" s="66"/>
      <c r="VYU393" s="66"/>
      <c r="VYV393" s="66"/>
      <c r="VYW393" s="66"/>
      <c r="VYX393" s="66"/>
      <c r="VYY393" s="66"/>
      <c r="VYZ393" s="66"/>
      <c r="VZA393" s="66"/>
      <c r="VZB393" s="66"/>
      <c r="VZC393" s="66"/>
      <c r="VZD393" s="66"/>
      <c r="VZE393" s="66"/>
      <c r="VZF393" s="66"/>
      <c r="VZG393" s="66"/>
      <c r="VZH393" s="66"/>
      <c r="VZI393" s="66"/>
      <c r="VZJ393" s="66"/>
      <c r="VZK393" s="66"/>
      <c r="VZL393" s="66"/>
      <c r="VZM393" s="66"/>
      <c r="VZN393" s="66"/>
      <c r="VZO393" s="66"/>
      <c r="VZP393" s="66"/>
      <c r="VZQ393" s="66"/>
      <c r="VZR393" s="66"/>
      <c r="VZS393" s="66"/>
      <c r="VZT393" s="66"/>
      <c r="VZU393" s="66"/>
      <c r="VZV393" s="66"/>
      <c r="VZW393" s="66"/>
      <c r="VZX393" s="66"/>
      <c r="VZY393" s="66"/>
      <c r="VZZ393" s="66"/>
      <c r="WAA393" s="66"/>
      <c r="WAB393" s="66"/>
      <c r="WAC393" s="66"/>
      <c r="WAD393" s="66"/>
      <c r="WAE393" s="66"/>
      <c r="WAF393" s="66"/>
      <c r="WAG393" s="66"/>
      <c r="WAH393" s="66"/>
      <c r="WAI393" s="66"/>
      <c r="WAJ393" s="66"/>
      <c r="WAK393" s="66"/>
      <c r="WAL393" s="66"/>
      <c r="WAM393" s="66"/>
      <c r="WAN393" s="66"/>
      <c r="WAO393" s="66"/>
      <c r="WAP393" s="66"/>
      <c r="WAQ393" s="66"/>
      <c r="WAR393" s="66"/>
      <c r="WAS393" s="66"/>
      <c r="WAT393" s="66"/>
      <c r="WAU393" s="66"/>
      <c r="WAV393" s="66"/>
      <c r="WAW393" s="66"/>
      <c r="WAX393" s="66"/>
      <c r="WAY393" s="66"/>
      <c r="WAZ393" s="66"/>
      <c r="WBA393" s="66"/>
      <c r="WBB393" s="66"/>
      <c r="WBC393" s="66"/>
      <c r="WBD393" s="66"/>
      <c r="WBE393" s="66"/>
      <c r="WBF393" s="66"/>
      <c r="WBG393" s="66"/>
      <c r="WBH393" s="66"/>
      <c r="WBI393" s="66"/>
      <c r="WBJ393" s="66"/>
      <c r="WBK393" s="66"/>
      <c r="WBL393" s="66"/>
      <c r="WBM393" s="66"/>
      <c r="WBN393" s="66"/>
      <c r="WBO393" s="66"/>
      <c r="WBP393" s="66"/>
      <c r="WBQ393" s="66"/>
      <c r="WBR393" s="66"/>
      <c r="WBS393" s="66"/>
      <c r="WBT393" s="66"/>
      <c r="WBU393" s="66"/>
      <c r="WBV393" s="66"/>
      <c r="WBW393" s="66"/>
      <c r="WBX393" s="66"/>
      <c r="WBY393" s="66"/>
      <c r="WBZ393" s="66"/>
      <c r="WCA393" s="66"/>
      <c r="WCB393" s="66"/>
      <c r="WCC393" s="66"/>
      <c r="WCD393" s="66"/>
      <c r="WCE393" s="66"/>
      <c r="WCF393" s="66"/>
      <c r="WCG393" s="66"/>
      <c r="WCH393" s="66"/>
      <c r="WCI393" s="66"/>
      <c r="WCJ393" s="66"/>
      <c r="WCK393" s="66"/>
      <c r="WCL393" s="66"/>
      <c r="WCM393" s="66"/>
      <c r="WCN393" s="66"/>
      <c r="WCO393" s="66"/>
      <c r="WCP393" s="66"/>
      <c r="WCQ393" s="66"/>
      <c r="WCR393" s="66"/>
      <c r="WCS393" s="66"/>
      <c r="WCT393" s="66"/>
      <c r="WCU393" s="66"/>
      <c r="WCV393" s="66"/>
      <c r="WCW393" s="66"/>
      <c r="WCX393" s="66"/>
      <c r="WCY393" s="66"/>
      <c r="WCZ393" s="66"/>
      <c r="WDA393" s="66"/>
      <c r="WDB393" s="66"/>
      <c r="WDC393" s="66"/>
      <c r="WDD393" s="66"/>
      <c r="WDE393" s="66"/>
      <c r="WDF393" s="66"/>
      <c r="WDG393" s="66"/>
      <c r="WDH393" s="66"/>
      <c r="WDI393" s="66"/>
      <c r="WDJ393" s="66"/>
      <c r="WDK393" s="66"/>
      <c r="WDL393" s="66"/>
      <c r="WDM393" s="66"/>
      <c r="WDN393" s="66"/>
      <c r="WDO393" s="66"/>
      <c r="WDP393" s="66"/>
      <c r="WDQ393" s="66"/>
      <c r="WDR393" s="66"/>
      <c r="WDS393" s="66"/>
      <c r="WDT393" s="66"/>
      <c r="WDU393" s="66"/>
      <c r="WDV393" s="66"/>
      <c r="WDW393" s="66"/>
      <c r="WDX393" s="66"/>
      <c r="WDY393" s="66"/>
      <c r="WDZ393" s="66"/>
      <c r="WEA393" s="66"/>
      <c r="WEB393" s="66"/>
      <c r="WEC393" s="66"/>
      <c r="WED393" s="66"/>
      <c r="WEE393" s="66"/>
      <c r="WEF393" s="66"/>
      <c r="WEG393" s="66"/>
      <c r="WEH393" s="66"/>
      <c r="WEI393" s="66"/>
      <c r="WEJ393" s="66"/>
      <c r="WEK393" s="66"/>
      <c r="WEL393" s="66"/>
      <c r="WEM393" s="66"/>
      <c r="WEN393" s="66"/>
      <c r="WEO393" s="66"/>
      <c r="WEP393" s="66"/>
      <c r="WEQ393" s="66"/>
      <c r="WER393" s="66"/>
      <c r="WES393" s="66"/>
      <c r="WET393" s="66"/>
      <c r="WEU393" s="66"/>
      <c r="WEV393" s="66"/>
      <c r="WEW393" s="66"/>
      <c r="WEX393" s="66"/>
      <c r="WEY393" s="66"/>
      <c r="WEZ393" s="66"/>
      <c r="WFA393" s="66"/>
      <c r="WFB393" s="66"/>
      <c r="WFC393" s="66"/>
      <c r="WFD393" s="66"/>
      <c r="WFE393" s="66"/>
      <c r="WFF393" s="66"/>
      <c r="WFG393" s="66"/>
      <c r="WFH393" s="66"/>
      <c r="WFI393" s="66"/>
      <c r="WFJ393" s="66"/>
      <c r="WFK393" s="66"/>
      <c r="WFL393" s="66"/>
      <c r="WFM393" s="66"/>
      <c r="WFN393" s="66"/>
      <c r="WFO393" s="66"/>
      <c r="WFP393" s="66"/>
      <c r="WFQ393" s="66"/>
      <c r="WFR393" s="66"/>
      <c r="WFS393" s="66"/>
      <c r="WFT393" s="66"/>
      <c r="WFU393" s="66"/>
      <c r="WFV393" s="66"/>
      <c r="WFW393" s="66"/>
      <c r="WFX393" s="66"/>
      <c r="WFY393" s="66"/>
      <c r="WFZ393" s="66"/>
      <c r="WGA393" s="66"/>
      <c r="WGB393" s="66"/>
      <c r="WGC393" s="66"/>
      <c r="WGD393" s="66"/>
      <c r="WGE393" s="66"/>
      <c r="WGF393" s="66"/>
      <c r="WGG393" s="66"/>
      <c r="WGH393" s="66"/>
      <c r="WGI393" s="66"/>
      <c r="WGJ393" s="66"/>
      <c r="WGK393" s="66"/>
      <c r="WGL393" s="66"/>
      <c r="WGM393" s="66"/>
      <c r="WGN393" s="66"/>
      <c r="WGO393" s="66"/>
      <c r="WGP393" s="66"/>
      <c r="WGQ393" s="66"/>
      <c r="WGR393" s="66"/>
      <c r="WGS393" s="66"/>
      <c r="WGT393" s="66"/>
      <c r="WGU393" s="66"/>
      <c r="WGV393" s="66"/>
      <c r="WGW393" s="66"/>
      <c r="WGX393" s="66"/>
      <c r="WGY393" s="66"/>
      <c r="WGZ393" s="66"/>
      <c r="WHA393" s="66"/>
      <c r="WHB393" s="66"/>
      <c r="WHC393" s="66"/>
      <c r="WHD393" s="66"/>
      <c r="WHE393" s="66"/>
      <c r="WHF393" s="66"/>
      <c r="WHG393" s="66"/>
      <c r="WHH393" s="66"/>
      <c r="WHI393" s="66"/>
      <c r="WHJ393" s="66"/>
      <c r="WHK393" s="66"/>
      <c r="WHL393" s="66"/>
      <c r="WHM393" s="66"/>
      <c r="WHN393" s="66"/>
      <c r="WHO393" s="66"/>
      <c r="WHP393" s="66"/>
      <c r="WHQ393" s="66"/>
      <c r="WHR393" s="66"/>
      <c r="WHS393" s="66"/>
      <c r="WHT393" s="66"/>
      <c r="WHU393" s="66"/>
      <c r="WHV393" s="66"/>
      <c r="WHW393" s="66"/>
      <c r="WHX393" s="66"/>
      <c r="WHY393" s="66"/>
      <c r="WHZ393" s="66"/>
      <c r="WIA393" s="66"/>
      <c r="WIB393" s="66"/>
      <c r="WIC393" s="66"/>
      <c r="WID393" s="66"/>
      <c r="WIE393" s="66"/>
      <c r="WIF393" s="66"/>
      <c r="WIG393" s="66"/>
      <c r="WIH393" s="66"/>
      <c r="WII393" s="66"/>
      <c r="WIJ393" s="66"/>
      <c r="WIK393" s="66"/>
      <c r="WIL393" s="66"/>
      <c r="WIM393" s="66"/>
      <c r="WIN393" s="66"/>
      <c r="WIO393" s="66"/>
      <c r="WIP393" s="66"/>
      <c r="WIQ393" s="66"/>
      <c r="WIR393" s="66"/>
      <c r="WIS393" s="66"/>
      <c r="WIT393" s="66"/>
      <c r="WIU393" s="66"/>
      <c r="WIV393" s="66"/>
      <c r="WIW393" s="66"/>
      <c r="WIX393" s="66"/>
      <c r="WIY393" s="66"/>
      <c r="WIZ393" s="66"/>
      <c r="WJA393" s="66"/>
      <c r="WJB393" s="66"/>
      <c r="WJC393" s="66"/>
      <c r="WJD393" s="66"/>
      <c r="WJE393" s="66"/>
      <c r="WJF393" s="66"/>
      <c r="WJG393" s="66"/>
      <c r="WJH393" s="66"/>
      <c r="WJI393" s="66"/>
      <c r="WJJ393" s="66"/>
      <c r="WJK393" s="66"/>
      <c r="WJL393" s="66"/>
      <c r="WJM393" s="66"/>
      <c r="WJN393" s="66"/>
      <c r="WJO393" s="66"/>
      <c r="WJP393" s="66"/>
      <c r="WJQ393" s="66"/>
      <c r="WJR393" s="66"/>
      <c r="WJS393" s="66"/>
      <c r="WJT393" s="66"/>
      <c r="WJU393" s="66"/>
      <c r="WJV393" s="66"/>
      <c r="WJW393" s="66"/>
      <c r="WJX393" s="66"/>
      <c r="WJY393" s="66"/>
      <c r="WJZ393" s="66"/>
      <c r="WKA393" s="66"/>
      <c r="WKB393" s="66"/>
      <c r="WKC393" s="66"/>
      <c r="WKD393" s="66"/>
      <c r="WKE393" s="66"/>
      <c r="WKF393" s="66"/>
      <c r="WKG393" s="66"/>
      <c r="WKH393" s="66"/>
      <c r="WKI393" s="66"/>
      <c r="WKJ393" s="66"/>
      <c r="WKK393" s="66"/>
      <c r="WKL393" s="66"/>
      <c r="WKM393" s="66"/>
      <c r="WKN393" s="66"/>
      <c r="WKO393" s="66"/>
      <c r="WKP393" s="66"/>
      <c r="WKQ393" s="66"/>
      <c r="WKR393" s="66"/>
      <c r="WKS393" s="66"/>
      <c r="WKT393" s="66"/>
      <c r="WKU393" s="66"/>
      <c r="WKV393" s="66"/>
      <c r="WKW393" s="66"/>
      <c r="WKX393" s="66"/>
      <c r="WKY393" s="66"/>
      <c r="WKZ393" s="66"/>
      <c r="WLA393" s="66"/>
      <c r="WLB393" s="66"/>
      <c r="WLC393" s="66"/>
      <c r="WLD393" s="66"/>
      <c r="WLE393" s="66"/>
      <c r="WLF393" s="66"/>
      <c r="WLG393" s="66"/>
      <c r="WLH393" s="66"/>
      <c r="WLI393" s="66"/>
      <c r="WLJ393" s="66"/>
      <c r="WLK393" s="66"/>
      <c r="WLL393" s="66"/>
      <c r="WLM393" s="66"/>
      <c r="WLN393" s="66"/>
      <c r="WLO393" s="66"/>
      <c r="WLP393" s="66"/>
      <c r="WLQ393" s="66"/>
      <c r="WLR393" s="66"/>
      <c r="WLS393" s="66"/>
      <c r="WLT393" s="66"/>
      <c r="WLU393" s="66"/>
      <c r="WLV393" s="66"/>
      <c r="WLW393" s="66"/>
      <c r="WLX393" s="66"/>
      <c r="WLY393" s="66"/>
      <c r="WLZ393" s="66"/>
      <c r="WMA393" s="66"/>
      <c r="WMB393" s="66"/>
      <c r="WMC393" s="66"/>
      <c r="WMD393" s="66"/>
      <c r="WME393" s="66"/>
      <c r="WMF393" s="66"/>
      <c r="WMG393" s="66"/>
      <c r="WMH393" s="66"/>
      <c r="WMI393" s="66"/>
      <c r="WMJ393" s="66"/>
      <c r="WMK393" s="66"/>
      <c r="WML393" s="66"/>
      <c r="WMM393" s="66"/>
      <c r="WMN393" s="66"/>
      <c r="WMO393" s="66"/>
      <c r="WMP393" s="66"/>
      <c r="WMQ393" s="66"/>
      <c r="WMR393" s="66"/>
      <c r="WMS393" s="66"/>
      <c r="WMT393" s="66"/>
      <c r="WMU393" s="66"/>
      <c r="WMV393" s="66"/>
      <c r="WMW393" s="66"/>
      <c r="WMX393" s="66"/>
      <c r="WMY393" s="66"/>
      <c r="WMZ393" s="66"/>
      <c r="WNA393" s="66"/>
      <c r="WNB393" s="66"/>
      <c r="WNC393" s="66"/>
      <c r="WND393" s="66"/>
      <c r="WNE393" s="66"/>
      <c r="WNF393" s="66"/>
      <c r="WNG393" s="66"/>
      <c r="WNH393" s="66"/>
      <c r="WNI393" s="66"/>
      <c r="WNJ393" s="66"/>
      <c r="WNK393" s="66"/>
      <c r="WNL393" s="66"/>
      <c r="WNM393" s="66"/>
      <c r="WNN393" s="66"/>
      <c r="WNO393" s="66"/>
      <c r="WNP393" s="66"/>
      <c r="WNQ393" s="66"/>
      <c r="WNR393" s="66"/>
      <c r="WNS393" s="66"/>
      <c r="WNT393" s="66"/>
      <c r="WNU393" s="66"/>
      <c r="WNV393" s="66"/>
      <c r="WNW393" s="66"/>
      <c r="WNX393" s="66"/>
      <c r="WNY393" s="66"/>
      <c r="WNZ393" s="66"/>
      <c r="WOA393" s="66"/>
      <c r="WOB393" s="66"/>
      <c r="WOC393" s="66"/>
      <c r="WOD393" s="66"/>
      <c r="WOE393" s="66"/>
      <c r="WOF393" s="66"/>
      <c r="WOG393" s="66"/>
      <c r="WOH393" s="66"/>
      <c r="WOI393" s="66"/>
      <c r="WOJ393" s="66"/>
      <c r="WOK393" s="66"/>
      <c r="WOL393" s="66"/>
      <c r="WOM393" s="66"/>
      <c r="WON393" s="66"/>
      <c r="WOO393" s="66"/>
      <c r="WOP393" s="66"/>
      <c r="WOQ393" s="66"/>
      <c r="WOR393" s="66"/>
      <c r="WOS393" s="66"/>
      <c r="WOT393" s="66"/>
      <c r="WOU393" s="66"/>
      <c r="WOV393" s="66"/>
      <c r="WOW393" s="66"/>
      <c r="WOX393" s="66"/>
      <c r="WOY393" s="66"/>
      <c r="WOZ393" s="66"/>
      <c r="WPA393" s="66"/>
      <c r="WPB393" s="66"/>
      <c r="WPC393" s="66"/>
      <c r="WPD393" s="66"/>
      <c r="WPE393" s="66"/>
      <c r="WPF393" s="66"/>
      <c r="WPG393" s="66"/>
      <c r="WPH393" s="66"/>
      <c r="WPI393" s="66"/>
      <c r="WPJ393" s="66"/>
      <c r="WPK393" s="66"/>
      <c r="WPL393" s="66"/>
      <c r="WPM393" s="66"/>
      <c r="WPN393" s="66"/>
      <c r="WPO393" s="66"/>
      <c r="WPP393" s="66"/>
      <c r="WPQ393" s="66"/>
      <c r="WPR393" s="66"/>
      <c r="WPS393" s="66"/>
      <c r="WPT393" s="66"/>
      <c r="WPU393" s="66"/>
      <c r="WPV393" s="66"/>
      <c r="WPW393" s="66"/>
      <c r="WPX393" s="66"/>
      <c r="WPY393" s="66"/>
      <c r="WPZ393" s="66"/>
      <c r="WQA393" s="66"/>
      <c r="WQB393" s="66"/>
      <c r="WQC393" s="66"/>
      <c r="WQD393" s="66"/>
      <c r="WQE393" s="66"/>
      <c r="WQF393" s="66"/>
      <c r="WQG393" s="66"/>
      <c r="WQH393" s="66"/>
      <c r="WQI393" s="66"/>
      <c r="WQJ393" s="66"/>
      <c r="WQK393" s="66"/>
      <c r="WQL393" s="66"/>
      <c r="WQM393" s="66"/>
      <c r="WQN393" s="66"/>
      <c r="WQO393" s="66"/>
      <c r="WQP393" s="66"/>
      <c r="WQQ393" s="66"/>
      <c r="WQR393" s="66"/>
      <c r="WQS393" s="66"/>
      <c r="WQT393" s="66"/>
      <c r="WQU393" s="66"/>
      <c r="WQV393" s="66"/>
      <c r="WQW393" s="66"/>
      <c r="WQX393" s="66"/>
      <c r="WQY393" s="66"/>
      <c r="WQZ393" s="66"/>
      <c r="WRA393" s="66"/>
      <c r="WRB393" s="66"/>
      <c r="WRC393" s="66"/>
      <c r="WRD393" s="66"/>
      <c r="WRE393" s="66"/>
      <c r="WRF393" s="66"/>
      <c r="WRG393" s="66"/>
      <c r="WRH393" s="66"/>
      <c r="WRI393" s="66"/>
      <c r="WRJ393" s="66"/>
      <c r="WRK393" s="66"/>
      <c r="WRL393" s="66"/>
      <c r="WRM393" s="66"/>
      <c r="WRN393" s="66"/>
      <c r="WRO393" s="66"/>
      <c r="WRP393" s="66"/>
      <c r="WRQ393" s="66"/>
      <c r="WRR393" s="66"/>
      <c r="WRS393" s="66"/>
      <c r="WRT393" s="66"/>
      <c r="WRU393" s="66"/>
      <c r="WRV393" s="66"/>
      <c r="WRW393" s="66"/>
      <c r="WRX393" s="66"/>
      <c r="WRY393" s="66"/>
      <c r="WRZ393" s="66"/>
      <c r="WSA393" s="66"/>
      <c r="WSB393" s="66"/>
      <c r="WSC393" s="66"/>
      <c r="WSD393" s="66"/>
      <c r="WSE393" s="66"/>
      <c r="WSF393" s="66"/>
      <c r="WSG393" s="66"/>
      <c r="WSH393" s="66"/>
      <c r="WSI393" s="66"/>
      <c r="WSJ393" s="66"/>
      <c r="WSK393" s="66"/>
      <c r="WSL393" s="66"/>
      <c r="WSM393" s="66"/>
      <c r="WSN393" s="66"/>
      <c r="WSO393" s="66"/>
      <c r="WSP393" s="66"/>
      <c r="WSQ393" s="66"/>
      <c r="WSR393" s="66"/>
      <c r="WSS393" s="66"/>
      <c r="WST393" s="66"/>
      <c r="WSU393" s="66"/>
      <c r="WSV393" s="66"/>
      <c r="WSW393" s="66"/>
      <c r="WSX393" s="66"/>
      <c r="WSY393" s="66"/>
      <c r="WSZ393" s="66"/>
      <c r="WTA393" s="66"/>
      <c r="WTB393" s="66"/>
      <c r="WTC393" s="66"/>
      <c r="WTD393" s="66"/>
      <c r="WTE393" s="66"/>
      <c r="WTF393" s="66"/>
      <c r="WTG393" s="66"/>
      <c r="WTH393" s="66"/>
      <c r="WTI393" s="66"/>
      <c r="WTJ393" s="66"/>
      <c r="WTK393" s="66"/>
      <c r="WTL393" s="66"/>
      <c r="WTM393" s="66"/>
      <c r="WTN393" s="66"/>
      <c r="WTO393" s="66"/>
      <c r="WTP393" s="66"/>
      <c r="WTQ393" s="66"/>
      <c r="WTR393" s="66"/>
      <c r="WTS393" s="66"/>
      <c r="WTT393" s="66"/>
      <c r="WTU393" s="66"/>
      <c r="WTV393" s="66"/>
      <c r="WTW393" s="66"/>
      <c r="WTX393" s="66"/>
      <c r="WTY393" s="66"/>
      <c r="WTZ393" s="66"/>
      <c r="WUA393" s="66"/>
      <c r="WUB393" s="66"/>
      <c r="WUC393" s="66"/>
      <c r="WUD393" s="66"/>
      <c r="WUE393" s="66"/>
      <c r="WUF393" s="66"/>
      <c r="WUG393" s="66"/>
      <c r="WUH393" s="66"/>
      <c r="WUI393" s="66"/>
      <c r="WUJ393" s="66"/>
      <c r="WUK393" s="66"/>
      <c r="WUL393" s="66"/>
      <c r="WUM393" s="66"/>
      <c r="WUN393" s="66"/>
      <c r="WUO393" s="66"/>
      <c r="WUP393" s="66"/>
      <c r="WUQ393" s="66"/>
      <c r="WUR393" s="66"/>
      <c r="WUS393" s="66"/>
      <c r="WUT393" s="66"/>
      <c r="WUU393" s="66"/>
      <c r="WUV393" s="66"/>
      <c r="WUW393" s="66"/>
      <c r="WUX393" s="66"/>
      <c r="WUY393" s="66"/>
      <c r="WUZ393" s="66"/>
      <c r="WVA393" s="66"/>
      <c r="WVB393" s="66"/>
      <c r="WVC393" s="66"/>
      <c r="WVD393" s="66"/>
      <c r="WVE393" s="66"/>
      <c r="WVF393" s="66"/>
      <c r="WVG393" s="66"/>
      <c r="WVH393" s="66"/>
      <c r="WVI393" s="66"/>
      <c r="WVJ393" s="66"/>
      <c r="WVK393" s="66"/>
      <c r="WVL393" s="66"/>
      <c r="WVM393" s="66"/>
      <c r="WVN393" s="66"/>
      <c r="WVO393" s="66"/>
      <c r="WVP393" s="66"/>
      <c r="WVQ393" s="66"/>
      <c r="WVR393" s="66"/>
      <c r="WVS393" s="66"/>
      <c r="WVT393" s="66"/>
      <c r="WVU393" s="66"/>
      <c r="WVV393" s="66"/>
      <c r="WVW393" s="66"/>
      <c r="WVX393" s="66"/>
      <c r="WVY393" s="66"/>
      <c r="WVZ393" s="66"/>
      <c r="WWA393" s="66"/>
      <c r="WWB393" s="66"/>
      <c r="WWC393" s="66"/>
      <c r="WWD393" s="66"/>
      <c r="WWE393" s="66"/>
      <c r="WWF393" s="66"/>
      <c r="WWG393" s="66"/>
      <c r="WWH393" s="66"/>
      <c r="WWI393" s="66"/>
      <c r="WWJ393" s="66"/>
      <c r="WWK393" s="66"/>
      <c r="WWL393" s="66"/>
      <c r="WWM393" s="66"/>
      <c r="WWN393" s="66"/>
      <c r="WWO393" s="66"/>
      <c r="WWP393" s="66"/>
      <c r="WWQ393" s="66"/>
      <c r="WWR393" s="66"/>
      <c r="WWS393" s="66"/>
      <c r="WWT393" s="66"/>
      <c r="WWU393" s="66"/>
      <c r="WWV393" s="66"/>
      <c r="WWW393" s="66"/>
      <c r="WWX393" s="66"/>
      <c r="WWY393" s="66"/>
      <c r="WWZ393" s="66"/>
      <c r="WXA393" s="66"/>
      <c r="WXB393" s="66"/>
      <c r="WXC393" s="66"/>
      <c r="WXD393" s="66"/>
      <c r="WXE393" s="66"/>
      <c r="WXF393" s="66"/>
      <c r="WXG393" s="66"/>
      <c r="WXH393" s="66"/>
      <c r="WXI393" s="66"/>
      <c r="WXJ393" s="66"/>
      <c r="WXK393" s="66"/>
      <c r="WXL393" s="66"/>
      <c r="WXM393" s="66"/>
      <c r="WXN393" s="66"/>
      <c r="WXO393" s="66"/>
      <c r="WXP393" s="66"/>
      <c r="WXQ393" s="66"/>
      <c r="WXR393" s="66"/>
      <c r="WXS393" s="66"/>
      <c r="WXT393" s="66"/>
      <c r="WXU393" s="66"/>
      <c r="WXV393" s="66"/>
      <c r="WXW393" s="66"/>
      <c r="WXX393" s="66"/>
      <c r="WXY393" s="66"/>
      <c r="WXZ393" s="66"/>
      <c r="WYA393" s="66"/>
      <c r="WYB393" s="66"/>
      <c r="WYC393" s="66"/>
      <c r="WYD393" s="66"/>
      <c r="WYE393" s="66"/>
      <c r="WYF393" s="66"/>
      <c r="WYG393" s="66"/>
      <c r="WYH393" s="66"/>
      <c r="WYI393" s="66"/>
      <c r="WYJ393" s="66"/>
      <c r="WYK393" s="66"/>
      <c r="WYL393" s="66"/>
      <c r="WYM393" s="66"/>
      <c r="WYN393" s="66"/>
      <c r="WYO393" s="66"/>
      <c r="WYP393" s="66"/>
      <c r="WYQ393" s="66"/>
      <c r="WYR393" s="66"/>
      <c r="WYS393" s="66"/>
      <c r="WYT393" s="66"/>
      <c r="WYU393" s="66"/>
      <c r="WYV393" s="66"/>
      <c r="WYW393" s="66"/>
      <c r="WYX393" s="66"/>
      <c r="WYY393" s="66"/>
      <c r="WYZ393" s="66"/>
      <c r="WZA393" s="66"/>
      <c r="WZB393" s="66"/>
      <c r="WZC393" s="66"/>
      <c r="WZD393" s="66"/>
      <c r="WZE393" s="66"/>
      <c r="WZF393" s="66"/>
      <c r="WZG393" s="66"/>
      <c r="WZH393" s="66"/>
      <c r="WZI393" s="66"/>
      <c r="WZJ393" s="66"/>
      <c r="WZK393" s="66"/>
      <c r="WZL393" s="66"/>
      <c r="WZM393" s="66"/>
      <c r="WZN393" s="66"/>
      <c r="WZO393" s="66"/>
      <c r="WZP393" s="66"/>
      <c r="WZQ393" s="66"/>
      <c r="WZR393" s="66"/>
      <c r="WZS393" s="66"/>
      <c r="WZT393" s="66"/>
      <c r="WZU393" s="66"/>
      <c r="WZV393" s="66"/>
      <c r="WZW393" s="66"/>
      <c r="WZX393" s="66"/>
      <c r="WZY393" s="66"/>
      <c r="WZZ393" s="66"/>
      <c r="XAA393" s="66"/>
      <c r="XAB393" s="66"/>
      <c r="XAC393" s="66"/>
      <c r="XAD393" s="66"/>
      <c r="XAE393" s="66"/>
      <c r="XAF393" s="66"/>
      <c r="XAG393" s="66"/>
      <c r="XAH393" s="66"/>
      <c r="XAI393" s="66"/>
      <c r="XAJ393" s="66"/>
      <c r="XAK393" s="66"/>
      <c r="XAL393" s="66"/>
      <c r="XAM393" s="66"/>
      <c r="XAN393" s="66"/>
      <c r="XAO393" s="66"/>
      <c r="XAP393" s="66"/>
      <c r="XAQ393" s="66"/>
      <c r="XAR393" s="66"/>
      <c r="XAS393" s="66"/>
      <c r="XAT393" s="66"/>
      <c r="XAU393" s="66"/>
      <c r="XAV393" s="66"/>
      <c r="XAW393" s="66"/>
      <c r="XAX393" s="66"/>
      <c r="XAY393" s="66"/>
      <c r="XAZ393" s="66"/>
      <c r="XBA393" s="66"/>
      <c r="XBB393" s="66"/>
      <c r="XBC393" s="66"/>
      <c r="XBD393" s="66"/>
      <c r="XBE393" s="66"/>
      <c r="XBF393" s="66"/>
      <c r="XBG393" s="66"/>
      <c r="XBH393" s="66"/>
      <c r="XBI393" s="66"/>
      <c r="XBJ393" s="66"/>
      <c r="XBK393" s="66"/>
      <c r="XBL393" s="66"/>
      <c r="XBM393" s="66"/>
      <c r="XBN393" s="66"/>
      <c r="XBO393" s="66"/>
      <c r="XBP393" s="66"/>
      <c r="XBQ393" s="66"/>
      <c r="XBR393" s="66"/>
      <c r="XBS393" s="66"/>
      <c r="XBT393" s="66"/>
      <c r="XBU393" s="66"/>
      <c r="XBV393" s="66"/>
      <c r="XBW393" s="66"/>
      <c r="XBX393" s="66"/>
      <c r="XBY393" s="66"/>
      <c r="XBZ393" s="66"/>
      <c r="XCA393" s="66"/>
      <c r="XCB393" s="66"/>
      <c r="XCC393" s="66"/>
      <c r="XCD393" s="66"/>
      <c r="XCE393" s="66"/>
      <c r="XCF393" s="66"/>
      <c r="XCG393" s="66"/>
      <c r="XCH393" s="66"/>
      <c r="XCI393" s="66"/>
      <c r="XCJ393" s="66"/>
      <c r="XCK393" s="66"/>
      <c r="XCL393" s="66"/>
      <c r="XCM393" s="66"/>
      <c r="XCN393" s="66"/>
      <c r="XCO393" s="66"/>
      <c r="XCP393" s="66"/>
      <c r="XCQ393" s="66"/>
      <c r="XCR393" s="66"/>
      <c r="XCS393" s="66"/>
      <c r="XCT393" s="66"/>
      <c r="XCU393" s="66"/>
      <c r="XCV393" s="66"/>
      <c r="XCW393" s="66"/>
      <c r="XCX393" s="66"/>
      <c r="XCY393" s="66"/>
      <c r="XCZ393" s="66"/>
      <c r="XDA393" s="66"/>
      <c r="XDB393" s="66"/>
      <c r="XDC393" s="66"/>
      <c r="XDD393" s="66"/>
      <c r="XDE393" s="66"/>
      <c r="XDF393" s="66"/>
      <c r="XDG393" s="66"/>
      <c r="XDH393" s="66"/>
      <c r="XDI393" s="66"/>
      <c r="XDJ393" s="66"/>
      <c r="XDK393" s="66"/>
      <c r="XDL393" s="66"/>
      <c r="XDM393" s="66"/>
      <c r="XDN393" s="66"/>
      <c r="XDO393" s="66"/>
      <c r="XDP393" s="66"/>
      <c r="XDQ393" s="66"/>
      <c r="XDR393" s="66"/>
      <c r="XDS393" s="66"/>
      <c r="XDT393" s="66"/>
      <c r="XDU393" s="66"/>
      <c r="XDV393" s="66"/>
      <c r="XDW393" s="66"/>
      <c r="XDX393" s="66"/>
      <c r="XDY393" s="66"/>
      <c r="XDZ393" s="66"/>
      <c r="XEA393" s="66"/>
      <c r="XEB393" s="66"/>
      <c r="XEC393" s="66"/>
      <c r="XED393" s="66"/>
      <c r="XEE393" s="66"/>
      <c r="XEF393" s="66"/>
      <c r="XEG393" s="66"/>
      <c r="XEH393" s="66"/>
      <c r="XEI393" s="66"/>
      <c r="XEJ393" s="66"/>
      <c r="XEK393" s="66"/>
      <c r="XEL393" s="66"/>
      <c r="XEM393" s="66"/>
      <c r="XEN393" s="66"/>
      <c r="XEO393" s="66"/>
      <c r="XEP393" s="66"/>
      <c r="XEQ393" s="66"/>
      <c r="XER393" s="66"/>
      <c r="XES393" s="66"/>
      <c r="XET393" s="66"/>
      <c r="XEU393" s="66"/>
      <c r="XEV393" s="66"/>
      <c r="XEW393" s="66"/>
      <c r="XEX393" s="66"/>
    </row>
    <row r="394" spans="1:16378" s="51" customFormat="1" ht="33">
      <c r="A394" s="34" t="s">
        <v>878</v>
      </c>
      <c r="B394" s="34"/>
      <c r="C394" s="72" t="s">
        <v>1181</v>
      </c>
      <c r="D394" s="72" t="s">
        <v>1203</v>
      </c>
      <c r="E394" s="120" t="s">
        <v>905</v>
      </c>
      <c r="F394" s="120"/>
      <c r="G394" s="132" t="s">
        <v>194</v>
      </c>
      <c r="H394" s="132">
        <v>2010</v>
      </c>
      <c r="I394" s="132" t="s">
        <v>195</v>
      </c>
      <c r="J394" s="133" t="s">
        <v>196</v>
      </c>
      <c r="K394" s="134" t="s">
        <v>1097</v>
      </c>
      <c r="L394" s="307">
        <f t="shared" si="54"/>
        <v>3765020</v>
      </c>
      <c r="M394" s="308">
        <v>-8234980</v>
      </c>
      <c r="N394" s="308">
        <f>3600000+8400000</f>
        <v>12000000</v>
      </c>
      <c r="O394" s="311"/>
      <c r="P394" s="311"/>
      <c r="Q394" s="311"/>
      <c r="R394" s="91"/>
      <c r="S394" s="68">
        <f t="shared" si="55"/>
        <v>8400000</v>
      </c>
      <c r="T394" s="68"/>
      <c r="U394" s="68">
        <v>3600000</v>
      </c>
      <c r="V394" s="10">
        <v>3</v>
      </c>
      <c r="W394" s="2"/>
      <c r="X394" s="2"/>
      <c r="Y394" s="2"/>
      <c r="Z394" s="2"/>
      <c r="AA394" s="2"/>
      <c r="AB394" s="2"/>
      <c r="AC394" s="2"/>
      <c r="AD394" s="2"/>
      <c r="AE394" s="2"/>
      <c r="AF394" s="2"/>
      <c r="AG394" s="2"/>
      <c r="AH394" s="2"/>
      <c r="AI394" s="14"/>
      <c r="AJ394" s="140">
        <v>30</v>
      </c>
      <c r="AK394" s="135">
        <v>2021</v>
      </c>
      <c r="AL394" s="136">
        <v>12000000</v>
      </c>
      <c r="AM394" s="139"/>
    </row>
    <row r="395" spans="1:16378" s="66" customFormat="1" ht="49.5">
      <c r="A395" s="72" t="s">
        <v>878</v>
      </c>
      <c r="B395" s="72"/>
      <c r="C395" s="72" t="s">
        <v>1181</v>
      </c>
      <c r="D395" s="72" t="s">
        <v>1203</v>
      </c>
      <c r="E395" s="120" t="s">
        <v>905</v>
      </c>
      <c r="F395" s="120"/>
      <c r="G395" s="132" t="s">
        <v>194</v>
      </c>
      <c r="H395" s="132">
        <v>2010</v>
      </c>
      <c r="I395" s="132" t="s">
        <v>195</v>
      </c>
      <c r="J395" s="133" t="s">
        <v>196</v>
      </c>
      <c r="K395" s="134" t="s">
        <v>1378</v>
      </c>
      <c r="L395" s="307">
        <f t="shared" si="54"/>
        <v>5832000</v>
      </c>
      <c r="M395" s="308">
        <v>5832000</v>
      </c>
      <c r="N395" s="308"/>
      <c r="O395" s="311"/>
      <c r="P395" s="311"/>
      <c r="Q395" s="311"/>
      <c r="R395" s="91"/>
      <c r="S395" s="68"/>
      <c r="T395" s="68"/>
      <c r="U395" s="68"/>
      <c r="V395" s="10"/>
      <c r="W395" s="68"/>
      <c r="X395" s="68"/>
      <c r="Y395" s="68"/>
      <c r="Z395" s="68"/>
      <c r="AA395" s="68"/>
      <c r="AB395" s="68"/>
      <c r="AC395" s="68"/>
      <c r="AD395" s="68"/>
      <c r="AE395" s="68"/>
      <c r="AF395" s="68"/>
      <c r="AG395" s="68"/>
      <c r="AH395" s="68"/>
      <c r="AI395" s="71"/>
      <c r="AJ395" s="140">
        <v>100</v>
      </c>
      <c r="AK395" s="135">
        <v>2021</v>
      </c>
      <c r="AL395" s="136">
        <v>5832000</v>
      </c>
      <c r="AM395" s="139"/>
    </row>
    <row r="396" spans="1:16378" s="66" customFormat="1" ht="33">
      <c r="A396" s="72" t="s">
        <v>878</v>
      </c>
      <c r="B396" s="72"/>
      <c r="C396" s="72" t="s">
        <v>1181</v>
      </c>
      <c r="D396" s="72"/>
      <c r="E396" s="120"/>
      <c r="F396" s="120"/>
      <c r="G396" s="132" t="s">
        <v>454</v>
      </c>
      <c r="H396" s="132" t="s">
        <v>1340</v>
      </c>
      <c r="I396" s="132" t="s">
        <v>195</v>
      </c>
      <c r="J396" s="133" t="s">
        <v>456</v>
      </c>
      <c r="K396" s="145" t="s">
        <v>1341</v>
      </c>
      <c r="L396" s="307">
        <f t="shared" si="54"/>
        <v>2500000</v>
      </c>
      <c r="M396" s="308"/>
      <c r="N396" s="308"/>
      <c r="O396" s="308"/>
      <c r="P396" s="308">
        <v>2500000</v>
      </c>
      <c r="Q396" s="308"/>
      <c r="R396" s="136"/>
      <c r="S396" s="68"/>
      <c r="T396" s="68"/>
      <c r="U396" s="68"/>
      <c r="V396" s="10"/>
      <c r="W396" s="68"/>
      <c r="X396" s="68"/>
      <c r="Y396" s="68"/>
      <c r="Z396" s="68"/>
      <c r="AA396" s="68"/>
      <c r="AB396" s="68"/>
      <c r="AC396" s="68"/>
      <c r="AD396" s="68"/>
      <c r="AE396" s="68"/>
      <c r="AF396" s="68"/>
      <c r="AG396" s="68"/>
      <c r="AH396" s="68"/>
      <c r="AI396" s="71"/>
      <c r="AJ396" s="140"/>
      <c r="AK396" s="135"/>
      <c r="AL396" s="136"/>
      <c r="AM396" s="139"/>
    </row>
    <row r="397" spans="1:16378" s="51" customFormat="1" ht="33">
      <c r="A397" s="34" t="s">
        <v>878</v>
      </c>
      <c r="B397" s="34"/>
      <c r="C397" s="72" t="s">
        <v>1181</v>
      </c>
      <c r="D397" s="72" t="s">
        <v>1216</v>
      </c>
      <c r="E397" s="120" t="s">
        <v>903</v>
      </c>
      <c r="F397" s="120"/>
      <c r="G397" s="132" t="s">
        <v>454</v>
      </c>
      <c r="H397" s="132">
        <v>2080</v>
      </c>
      <c r="I397" s="132" t="s">
        <v>455</v>
      </c>
      <c r="J397" s="133" t="s">
        <v>456</v>
      </c>
      <c r="K397" s="134" t="s">
        <v>1102</v>
      </c>
      <c r="L397" s="307">
        <f t="shared" si="54"/>
        <v>7000000</v>
      </c>
      <c r="M397" s="308"/>
      <c r="N397" s="308">
        <f>2000000+5000000</f>
        <v>7000000</v>
      </c>
      <c r="O397" s="311"/>
      <c r="P397" s="311"/>
      <c r="Q397" s="311"/>
      <c r="R397" s="91"/>
      <c r="S397" s="68">
        <f t="shared" ref="S397:S416" si="56">N397-U397</f>
        <v>5000000</v>
      </c>
      <c r="T397" s="68"/>
      <c r="U397" s="68">
        <v>2000000</v>
      </c>
      <c r="V397" s="10">
        <v>3</v>
      </c>
      <c r="W397" s="2"/>
      <c r="X397" s="2"/>
      <c r="Y397" s="2"/>
      <c r="Z397" s="2"/>
      <c r="AA397" s="2"/>
      <c r="AB397" s="2"/>
      <c r="AC397" s="2"/>
      <c r="AD397" s="2"/>
      <c r="AE397" s="2"/>
      <c r="AF397" s="2"/>
      <c r="AG397" s="2"/>
      <c r="AH397" s="2"/>
      <c r="AI397" s="14"/>
      <c r="AJ397" s="140">
        <v>30</v>
      </c>
      <c r="AK397" s="135">
        <v>2021</v>
      </c>
      <c r="AL397" s="136">
        <v>7000000</v>
      </c>
      <c r="AM397" s="139"/>
    </row>
    <row r="398" spans="1:16378" s="51" customFormat="1" ht="33">
      <c r="A398" s="34" t="s">
        <v>878</v>
      </c>
      <c r="B398" s="34"/>
      <c r="C398" s="72" t="s">
        <v>1181</v>
      </c>
      <c r="D398" s="72" t="s">
        <v>1217</v>
      </c>
      <c r="E398" s="120" t="s">
        <v>902</v>
      </c>
      <c r="F398" s="120"/>
      <c r="G398" s="132" t="s">
        <v>454</v>
      </c>
      <c r="H398" s="132">
        <v>2080</v>
      </c>
      <c r="I398" s="132" t="s">
        <v>455</v>
      </c>
      <c r="J398" s="133" t="s">
        <v>456</v>
      </c>
      <c r="K398" s="134" t="s">
        <v>1098</v>
      </c>
      <c r="L398" s="307">
        <f t="shared" si="54"/>
        <v>1250000</v>
      </c>
      <c r="M398" s="308"/>
      <c r="N398" s="308">
        <v>1250000</v>
      </c>
      <c r="O398" s="311"/>
      <c r="P398" s="311"/>
      <c r="Q398" s="311"/>
      <c r="R398" s="91"/>
      <c r="S398" s="68">
        <f t="shared" si="56"/>
        <v>0</v>
      </c>
      <c r="T398" s="68"/>
      <c r="U398" s="68">
        <v>1250000</v>
      </c>
      <c r="V398" s="10">
        <v>3</v>
      </c>
      <c r="W398" s="2"/>
      <c r="X398" s="2"/>
      <c r="Y398" s="2"/>
      <c r="Z398" s="2"/>
      <c r="AA398" s="2"/>
      <c r="AB398" s="2"/>
      <c r="AC398" s="2"/>
      <c r="AD398" s="2"/>
      <c r="AE398" s="2"/>
      <c r="AF398" s="2"/>
      <c r="AG398" s="2"/>
      <c r="AH398" s="2"/>
      <c r="AI398" s="14"/>
      <c r="AJ398" s="140">
        <v>100</v>
      </c>
      <c r="AK398" s="135">
        <v>2021</v>
      </c>
      <c r="AL398" s="136">
        <v>1500000</v>
      </c>
      <c r="AM398" s="139"/>
    </row>
    <row r="399" spans="1:16378" s="51" customFormat="1" ht="33">
      <c r="A399" s="34" t="s">
        <v>878</v>
      </c>
      <c r="B399" s="34"/>
      <c r="C399" s="72" t="s">
        <v>1181</v>
      </c>
      <c r="D399" s="72" t="s">
        <v>1217</v>
      </c>
      <c r="E399" s="120" t="s">
        <v>902</v>
      </c>
      <c r="F399" s="120"/>
      <c r="G399" s="132" t="s">
        <v>454</v>
      </c>
      <c r="H399" s="132">
        <v>2080</v>
      </c>
      <c r="I399" s="132" t="s">
        <v>455</v>
      </c>
      <c r="J399" s="133" t="s">
        <v>456</v>
      </c>
      <c r="K399" s="134" t="s">
        <v>1112</v>
      </c>
      <c r="L399" s="307">
        <f t="shared" si="54"/>
        <v>550000</v>
      </c>
      <c r="M399" s="308"/>
      <c r="N399" s="308">
        <v>550000</v>
      </c>
      <c r="O399" s="311"/>
      <c r="P399" s="311"/>
      <c r="Q399" s="311"/>
      <c r="R399" s="91"/>
      <c r="S399" s="68">
        <f t="shared" si="56"/>
        <v>0</v>
      </c>
      <c r="T399" s="68"/>
      <c r="U399" s="68">
        <v>550000</v>
      </c>
      <c r="V399" s="10">
        <v>3</v>
      </c>
      <c r="W399" s="2"/>
      <c r="X399" s="2"/>
      <c r="Y399" s="2"/>
      <c r="Z399" s="2"/>
      <c r="AA399" s="2"/>
      <c r="AB399" s="2"/>
      <c r="AC399" s="2"/>
      <c r="AD399" s="2"/>
      <c r="AE399" s="2"/>
      <c r="AF399" s="2"/>
      <c r="AG399" s="2"/>
      <c r="AH399" s="2"/>
      <c r="AI399" s="14"/>
      <c r="AJ399" s="140">
        <v>100</v>
      </c>
      <c r="AK399" s="135">
        <v>2021</v>
      </c>
      <c r="AL399" s="136">
        <v>550000</v>
      </c>
      <c r="AM399" s="139"/>
    </row>
    <row r="400" spans="1:16378" s="51" customFormat="1" ht="33">
      <c r="A400" s="34" t="s">
        <v>878</v>
      </c>
      <c r="B400" s="34"/>
      <c r="C400" s="72" t="s">
        <v>1181</v>
      </c>
      <c r="D400" s="72" t="s">
        <v>1218</v>
      </c>
      <c r="E400" s="120" t="s">
        <v>901</v>
      </c>
      <c r="F400" s="120"/>
      <c r="G400" s="132" t="s">
        <v>454</v>
      </c>
      <c r="H400" s="132">
        <v>2080</v>
      </c>
      <c r="I400" s="132" t="s">
        <v>455</v>
      </c>
      <c r="J400" s="133" t="s">
        <v>456</v>
      </c>
      <c r="K400" s="134" t="s">
        <v>1138</v>
      </c>
      <c r="L400" s="307">
        <f t="shared" si="54"/>
        <v>1250000</v>
      </c>
      <c r="M400" s="308"/>
      <c r="N400" s="308">
        <v>1250000</v>
      </c>
      <c r="O400" s="311"/>
      <c r="P400" s="311"/>
      <c r="Q400" s="311"/>
      <c r="R400" s="91"/>
      <c r="S400" s="68">
        <f t="shared" si="56"/>
        <v>0</v>
      </c>
      <c r="T400" s="68"/>
      <c r="U400" s="68">
        <v>1250000</v>
      </c>
      <c r="V400" s="10">
        <v>3</v>
      </c>
      <c r="W400" s="2"/>
      <c r="X400" s="2"/>
      <c r="Y400" s="2"/>
      <c r="Z400" s="2"/>
      <c r="AA400" s="2"/>
      <c r="AB400" s="2"/>
      <c r="AC400" s="2"/>
      <c r="AD400" s="2"/>
      <c r="AE400" s="2"/>
      <c r="AF400" s="2"/>
      <c r="AG400" s="2"/>
      <c r="AH400" s="2"/>
      <c r="AI400" s="14"/>
      <c r="AJ400" s="140">
        <v>100</v>
      </c>
      <c r="AK400" s="135">
        <v>2021</v>
      </c>
      <c r="AL400" s="136">
        <v>1500000</v>
      </c>
      <c r="AM400" s="139"/>
    </row>
    <row r="401" spans="1:40" s="66" customFormat="1">
      <c r="A401" s="72" t="s">
        <v>878</v>
      </c>
      <c r="B401" s="72"/>
      <c r="C401" s="72"/>
      <c r="D401" s="72"/>
      <c r="E401" s="120"/>
      <c r="F401" s="120"/>
      <c r="G401" s="142" t="s">
        <v>1294</v>
      </c>
      <c r="H401" s="142">
        <v>2152</v>
      </c>
      <c r="I401" s="142" t="s">
        <v>1295</v>
      </c>
      <c r="J401" s="143" t="s">
        <v>1296</v>
      </c>
      <c r="K401" s="124" t="s">
        <v>1297</v>
      </c>
      <c r="L401" s="307">
        <f t="shared" si="54"/>
        <v>25500000</v>
      </c>
      <c r="M401" s="308"/>
      <c r="N401" s="308">
        <v>25500000</v>
      </c>
      <c r="O401" s="312"/>
      <c r="P401" s="312"/>
      <c r="Q401" s="312"/>
      <c r="R401" s="167"/>
      <c r="S401" s="68">
        <f t="shared" si="56"/>
        <v>25500000</v>
      </c>
      <c r="T401" s="68"/>
      <c r="U401" s="68"/>
      <c r="V401" s="10"/>
      <c r="W401" s="68"/>
      <c r="X401" s="68"/>
      <c r="Y401" s="68"/>
      <c r="Z401" s="68"/>
      <c r="AA401" s="68"/>
      <c r="AB401" s="68"/>
      <c r="AC401" s="68"/>
      <c r="AD401" s="68"/>
      <c r="AE401" s="68"/>
      <c r="AF401" s="68"/>
      <c r="AG401" s="68"/>
      <c r="AH401" s="68"/>
      <c r="AI401" s="71"/>
      <c r="AJ401" s="140"/>
      <c r="AK401" s="135">
        <v>2021</v>
      </c>
      <c r="AL401" s="136">
        <v>25500000</v>
      </c>
      <c r="AM401" s="139"/>
    </row>
    <row r="402" spans="1:40" s="51" customFormat="1" ht="49.5">
      <c r="A402" s="34" t="s">
        <v>878</v>
      </c>
      <c r="B402" s="34"/>
      <c r="C402" s="72"/>
      <c r="D402" s="72" t="s">
        <v>1198</v>
      </c>
      <c r="E402" s="120" t="s">
        <v>905</v>
      </c>
      <c r="F402" s="120"/>
      <c r="G402" s="132" t="s">
        <v>197</v>
      </c>
      <c r="H402" s="132" t="s">
        <v>198</v>
      </c>
      <c r="I402" s="132" t="s">
        <v>108</v>
      </c>
      <c r="J402" s="133" t="s">
        <v>199</v>
      </c>
      <c r="K402" s="134" t="s">
        <v>937</v>
      </c>
      <c r="L402" s="307">
        <f t="shared" si="54"/>
        <v>4000000</v>
      </c>
      <c r="M402" s="308"/>
      <c r="N402" s="308">
        <v>4000000</v>
      </c>
      <c r="O402" s="311"/>
      <c r="P402" s="311"/>
      <c r="Q402" s="311"/>
      <c r="R402" s="91"/>
      <c r="S402" s="68">
        <f t="shared" si="56"/>
        <v>0</v>
      </c>
      <c r="T402" s="68"/>
      <c r="U402" s="68">
        <v>4000000</v>
      </c>
      <c r="V402" s="10">
        <v>2</v>
      </c>
      <c r="W402" s="2"/>
      <c r="X402" s="2"/>
      <c r="Y402" s="2"/>
      <c r="Z402" s="2"/>
      <c r="AA402" s="2"/>
      <c r="AB402" s="2"/>
      <c r="AC402" s="2"/>
      <c r="AD402" s="2"/>
      <c r="AE402" s="2"/>
      <c r="AF402" s="2"/>
      <c r="AG402" s="2"/>
      <c r="AH402" s="2"/>
      <c r="AI402" s="14"/>
      <c r="AJ402" s="140">
        <v>100</v>
      </c>
      <c r="AK402" s="135" t="s">
        <v>704</v>
      </c>
      <c r="AL402" s="136">
        <v>7213538</v>
      </c>
      <c r="AM402" s="139">
        <v>70</v>
      </c>
    </row>
    <row r="403" spans="1:40" s="51" customFormat="1" ht="66">
      <c r="A403" s="34" t="s">
        <v>878</v>
      </c>
      <c r="B403" s="34"/>
      <c r="C403" s="72"/>
      <c r="D403" s="72" t="s">
        <v>1198</v>
      </c>
      <c r="E403" s="120" t="s">
        <v>905</v>
      </c>
      <c r="F403" s="120"/>
      <c r="G403" s="132" t="s">
        <v>197</v>
      </c>
      <c r="H403" s="132" t="s">
        <v>198</v>
      </c>
      <c r="I403" s="132" t="s">
        <v>108</v>
      </c>
      <c r="J403" s="133" t="s">
        <v>199</v>
      </c>
      <c r="K403" s="134" t="s">
        <v>768</v>
      </c>
      <c r="L403" s="307">
        <f t="shared" si="54"/>
        <v>1000000</v>
      </c>
      <c r="M403" s="308"/>
      <c r="N403" s="308">
        <v>1000000</v>
      </c>
      <c r="O403" s="311"/>
      <c r="P403" s="311"/>
      <c r="Q403" s="311"/>
      <c r="R403" s="91"/>
      <c r="S403" s="68">
        <f t="shared" si="56"/>
        <v>0</v>
      </c>
      <c r="T403" s="68"/>
      <c r="U403" s="68">
        <v>1000000</v>
      </c>
      <c r="V403" s="10">
        <v>2</v>
      </c>
      <c r="W403" s="2"/>
      <c r="X403" s="2"/>
      <c r="Y403" s="2"/>
      <c r="Z403" s="2"/>
      <c r="AA403" s="2"/>
      <c r="AB403" s="2"/>
      <c r="AC403" s="2"/>
      <c r="AD403" s="2"/>
      <c r="AE403" s="2"/>
      <c r="AF403" s="2"/>
      <c r="AG403" s="2"/>
      <c r="AH403" s="2"/>
      <c r="AI403" s="14"/>
      <c r="AJ403" s="140">
        <v>100</v>
      </c>
      <c r="AK403" s="135" t="s">
        <v>1117</v>
      </c>
      <c r="AL403" s="136">
        <v>4722241</v>
      </c>
      <c r="AM403" s="139">
        <v>63</v>
      </c>
    </row>
    <row r="404" spans="1:40" s="51" customFormat="1" ht="66">
      <c r="A404" s="34" t="s">
        <v>878</v>
      </c>
      <c r="B404" s="34"/>
      <c r="C404" s="72"/>
      <c r="D404" s="72" t="s">
        <v>1198</v>
      </c>
      <c r="E404" s="120" t="s">
        <v>905</v>
      </c>
      <c r="F404" s="120"/>
      <c r="G404" s="132" t="s">
        <v>197</v>
      </c>
      <c r="H404" s="132" t="s">
        <v>198</v>
      </c>
      <c r="I404" s="132" t="s">
        <v>108</v>
      </c>
      <c r="J404" s="133" t="s">
        <v>199</v>
      </c>
      <c r="K404" s="134" t="s">
        <v>1058</v>
      </c>
      <c r="L404" s="307">
        <f t="shared" si="54"/>
        <v>4000000</v>
      </c>
      <c r="M404" s="308"/>
      <c r="N404" s="308">
        <v>4000000</v>
      </c>
      <c r="O404" s="311"/>
      <c r="P404" s="311"/>
      <c r="Q404" s="311"/>
      <c r="R404" s="91"/>
      <c r="S404" s="68">
        <f t="shared" si="56"/>
        <v>0</v>
      </c>
      <c r="T404" s="68"/>
      <c r="U404" s="68">
        <v>4000000</v>
      </c>
      <c r="V404" s="10">
        <v>2</v>
      </c>
      <c r="W404" s="2"/>
      <c r="X404" s="2"/>
      <c r="Y404" s="2"/>
      <c r="Z404" s="2"/>
      <c r="AA404" s="2"/>
      <c r="AB404" s="2"/>
      <c r="AC404" s="2"/>
      <c r="AD404" s="2"/>
      <c r="AE404" s="2"/>
      <c r="AF404" s="2"/>
      <c r="AG404" s="2"/>
      <c r="AH404" s="2"/>
      <c r="AI404" s="14"/>
      <c r="AJ404" s="140">
        <v>100</v>
      </c>
      <c r="AK404" s="135" t="s">
        <v>1119</v>
      </c>
      <c r="AL404" s="136">
        <v>5157791</v>
      </c>
      <c r="AM404" s="139">
        <v>30</v>
      </c>
    </row>
    <row r="405" spans="1:40" s="51" customFormat="1" ht="66">
      <c r="A405" s="34" t="s">
        <v>878</v>
      </c>
      <c r="B405" s="34"/>
      <c r="C405" s="72"/>
      <c r="D405" s="72" t="s">
        <v>1198</v>
      </c>
      <c r="E405" s="120" t="s">
        <v>905</v>
      </c>
      <c r="F405" s="120"/>
      <c r="G405" s="132" t="s">
        <v>197</v>
      </c>
      <c r="H405" s="132" t="s">
        <v>198</v>
      </c>
      <c r="I405" s="132" t="s">
        <v>108</v>
      </c>
      <c r="J405" s="133" t="s">
        <v>199</v>
      </c>
      <c r="K405" s="134" t="s">
        <v>1059</v>
      </c>
      <c r="L405" s="307">
        <f t="shared" si="54"/>
        <v>2000000</v>
      </c>
      <c r="M405" s="308"/>
      <c r="N405" s="308">
        <v>2000000</v>
      </c>
      <c r="O405" s="311"/>
      <c r="P405" s="311"/>
      <c r="Q405" s="311"/>
      <c r="R405" s="91"/>
      <c r="S405" s="68">
        <f t="shared" si="56"/>
        <v>0</v>
      </c>
      <c r="T405" s="68"/>
      <c r="U405" s="68">
        <v>2000000</v>
      </c>
      <c r="V405" s="10">
        <v>2</v>
      </c>
      <c r="W405" s="2"/>
      <c r="X405" s="2"/>
      <c r="Y405" s="2"/>
      <c r="Z405" s="2"/>
      <c r="AA405" s="2"/>
      <c r="AB405" s="2"/>
      <c r="AC405" s="2"/>
      <c r="AD405" s="2"/>
      <c r="AE405" s="2"/>
      <c r="AF405" s="2"/>
      <c r="AG405" s="2"/>
      <c r="AH405" s="2"/>
      <c r="AI405" s="14"/>
      <c r="AJ405" s="140">
        <v>100</v>
      </c>
      <c r="AK405" s="135" t="s">
        <v>1119</v>
      </c>
      <c r="AL405" s="136">
        <v>14274083</v>
      </c>
      <c r="AM405" s="139">
        <v>80</v>
      </c>
    </row>
    <row r="406" spans="1:40" s="51" customFormat="1" ht="49.5">
      <c r="A406" s="34" t="s">
        <v>878</v>
      </c>
      <c r="B406" s="34"/>
      <c r="C406" s="72"/>
      <c r="D406" s="72" t="s">
        <v>1198</v>
      </c>
      <c r="E406" s="120" t="s">
        <v>905</v>
      </c>
      <c r="F406" s="120"/>
      <c r="G406" s="132" t="s">
        <v>197</v>
      </c>
      <c r="H406" s="132" t="s">
        <v>198</v>
      </c>
      <c r="I406" s="132" t="s">
        <v>108</v>
      </c>
      <c r="J406" s="133" t="s">
        <v>199</v>
      </c>
      <c r="K406" s="134" t="s">
        <v>841</v>
      </c>
      <c r="L406" s="307">
        <f t="shared" si="54"/>
        <v>1900000</v>
      </c>
      <c r="M406" s="308"/>
      <c r="N406" s="308">
        <v>1900000</v>
      </c>
      <c r="O406" s="311"/>
      <c r="P406" s="311"/>
      <c r="Q406" s="311"/>
      <c r="R406" s="91"/>
      <c r="S406" s="68">
        <f t="shared" si="56"/>
        <v>0</v>
      </c>
      <c r="T406" s="68"/>
      <c r="U406" s="68">
        <v>1900000</v>
      </c>
      <c r="V406" s="10">
        <v>2</v>
      </c>
      <c r="W406" s="2"/>
      <c r="X406" s="2"/>
      <c r="Y406" s="2"/>
      <c r="Z406" s="2"/>
      <c r="AA406" s="2"/>
      <c r="AB406" s="2"/>
      <c r="AC406" s="2"/>
      <c r="AD406" s="2"/>
      <c r="AE406" s="2"/>
      <c r="AF406" s="2"/>
      <c r="AG406" s="2"/>
      <c r="AH406" s="2"/>
      <c r="AI406" s="14"/>
      <c r="AJ406" s="140">
        <v>100</v>
      </c>
      <c r="AK406" s="135" t="s">
        <v>1119</v>
      </c>
      <c r="AL406" s="136">
        <v>3212042</v>
      </c>
      <c r="AM406" s="139">
        <v>35</v>
      </c>
    </row>
    <row r="407" spans="1:40" s="51" customFormat="1" ht="49.5">
      <c r="A407" s="34" t="s">
        <v>878</v>
      </c>
      <c r="B407" s="34"/>
      <c r="C407" s="72"/>
      <c r="D407" s="72" t="s">
        <v>1198</v>
      </c>
      <c r="E407" s="120" t="s">
        <v>905</v>
      </c>
      <c r="F407" s="120"/>
      <c r="G407" s="132" t="s">
        <v>197</v>
      </c>
      <c r="H407" s="132" t="s">
        <v>198</v>
      </c>
      <c r="I407" s="132" t="s">
        <v>108</v>
      </c>
      <c r="J407" s="133" t="s">
        <v>199</v>
      </c>
      <c r="K407" s="134" t="s">
        <v>451</v>
      </c>
      <c r="L407" s="307">
        <f t="shared" si="54"/>
        <v>3000000</v>
      </c>
      <c r="M407" s="308"/>
      <c r="N407" s="308">
        <f>4000000-1000000</f>
        <v>3000000</v>
      </c>
      <c r="O407" s="311"/>
      <c r="P407" s="311"/>
      <c r="Q407" s="311"/>
      <c r="R407" s="91"/>
      <c r="S407" s="68">
        <f t="shared" si="56"/>
        <v>-1000000</v>
      </c>
      <c r="T407" s="68"/>
      <c r="U407" s="68">
        <v>4000000</v>
      </c>
      <c r="V407" s="10">
        <v>2</v>
      </c>
      <c r="W407" s="2"/>
      <c r="X407" s="2"/>
      <c r="Y407" s="2"/>
      <c r="Z407" s="2"/>
      <c r="AA407" s="2"/>
      <c r="AB407" s="2"/>
      <c r="AC407" s="2"/>
      <c r="AD407" s="2"/>
      <c r="AE407" s="2"/>
      <c r="AF407" s="2"/>
      <c r="AG407" s="2"/>
      <c r="AH407" s="2"/>
      <c r="AI407" s="14"/>
      <c r="AJ407" s="140">
        <v>100</v>
      </c>
      <c r="AK407" s="135" t="s">
        <v>1119</v>
      </c>
      <c r="AL407" s="136">
        <v>7587590</v>
      </c>
      <c r="AM407" s="139">
        <v>30</v>
      </c>
    </row>
    <row r="408" spans="1:40" s="51" customFormat="1" ht="66">
      <c r="A408" s="34" t="s">
        <v>878</v>
      </c>
      <c r="B408" s="34"/>
      <c r="C408" s="72"/>
      <c r="D408" s="72" t="s">
        <v>1198</v>
      </c>
      <c r="E408" s="120" t="s">
        <v>905</v>
      </c>
      <c r="F408" s="120"/>
      <c r="G408" s="132" t="s">
        <v>197</v>
      </c>
      <c r="H408" s="132" t="s">
        <v>198</v>
      </c>
      <c r="I408" s="132" t="s">
        <v>108</v>
      </c>
      <c r="J408" s="133" t="s">
        <v>199</v>
      </c>
      <c r="K408" s="134" t="s">
        <v>929</v>
      </c>
      <c r="L408" s="307">
        <f t="shared" si="54"/>
        <v>5000000</v>
      </c>
      <c r="M408" s="308"/>
      <c r="N408" s="308">
        <v>5000000</v>
      </c>
      <c r="O408" s="311"/>
      <c r="P408" s="311"/>
      <c r="Q408" s="311"/>
      <c r="R408" s="91"/>
      <c r="S408" s="68">
        <f t="shared" si="56"/>
        <v>0</v>
      </c>
      <c r="T408" s="68"/>
      <c r="U408" s="68">
        <v>5000000</v>
      </c>
      <c r="V408" s="10">
        <v>2</v>
      </c>
      <c r="W408" s="2"/>
      <c r="X408" s="2"/>
      <c r="Y408" s="2"/>
      <c r="Z408" s="2"/>
      <c r="AA408" s="2"/>
      <c r="AB408" s="2"/>
      <c r="AC408" s="2"/>
      <c r="AD408" s="2"/>
      <c r="AE408" s="2"/>
      <c r="AF408" s="2"/>
      <c r="AG408" s="2"/>
      <c r="AH408" s="2"/>
      <c r="AI408" s="14"/>
      <c r="AJ408" s="140">
        <v>100</v>
      </c>
      <c r="AK408" s="135" t="s">
        <v>1119</v>
      </c>
      <c r="AL408" s="136">
        <v>9900930</v>
      </c>
      <c r="AM408" s="139">
        <v>45</v>
      </c>
    </row>
    <row r="409" spans="1:40" s="51" customFormat="1" ht="66">
      <c r="A409" s="34" t="s">
        <v>878</v>
      </c>
      <c r="B409" s="34"/>
      <c r="C409" s="72"/>
      <c r="D409" s="72" t="s">
        <v>1198</v>
      </c>
      <c r="E409" s="120" t="s">
        <v>905</v>
      </c>
      <c r="F409" s="120"/>
      <c r="G409" s="132" t="s">
        <v>197</v>
      </c>
      <c r="H409" s="132" t="s">
        <v>198</v>
      </c>
      <c r="I409" s="132" t="s">
        <v>108</v>
      </c>
      <c r="J409" s="133" t="s">
        <v>199</v>
      </c>
      <c r="K409" s="134" t="s">
        <v>459</v>
      </c>
      <c r="L409" s="307">
        <f t="shared" si="54"/>
        <v>2500000</v>
      </c>
      <c r="M409" s="308"/>
      <c r="N409" s="308">
        <v>2500000</v>
      </c>
      <c r="O409" s="311"/>
      <c r="P409" s="311"/>
      <c r="Q409" s="311"/>
      <c r="R409" s="91"/>
      <c r="S409" s="68">
        <f t="shared" si="56"/>
        <v>0</v>
      </c>
      <c r="T409" s="68"/>
      <c r="U409" s="68">
        <v>2500000</v>
      </c>
      <c r="V409" s="10">
        <v>2</v>
      </c>
      <c r="W409" s="2"/>
      <c r="X409" s="2"/>
      <c r="Y409" s="2"/>
      <c r="Z409" s="2"/>
      <c r="AA409" s="2"/>
      <c r="AB409" s="2"/>
      <c r="AC409" s="2"/>
      <c r="AD409" s="2"/>
      <c r="AE409" s="2"/>
      <c r="AF409" s="2"/>
      <c r="AG409" s="2"/>
      <c r="AH409" s="2"/>
      <c r="AI409" s="14"/>
      <c r="AJ409" s="140">
        <v>100</v>
      </c>
      <c r="AK409" s="135" t="s">
        <v>1119</v>
      </c>
      <c r="AL409" s="136">
        <v>4175210</v>
      </c>
      <c r="AM409" s="139">
        <v>40</v>
      </c>
    </row>
    <row r="410" spans="1:40" s="51" customFormat="1" ht="66">
      <c r="A410" s="34" t="s">
        <v>878</v>
      </c>
      <c r="B410" s="34"/>
      <c r="C410" s="72"/>
      <c r="D410" s="72" t="s">
        <v>1198</v>
      </c>
      <c r="E410" s="120" t="s">
        <v>905</v>
      </c>
      <c r="F410" s="120"/>
      <c r="G410" s="132" t="s">
        <v>197</v>
      </c>
      <c r="H410" s="132" t="s">
        <v>198</v>
      </c>
      <c r="I410" s="132" t="s">
        <v>108</v>
      </c>
      <c r="J410" s="133" t="s">
        <v>199</v>
      </c>
      <c r="K410" s="134" t="s">
        <v>930</v>
      </c>
      <c r="L410" s="307">
        <f t="shared" si="54"/>
        <v>2500000</v>
      </c>
      <c r="M410" s="308"/>
      <c r="N410" s="308">
        <v>2500000</v>
      </c>
      <c r="O410" s="311"/>
      <c r="P410" s="311"/>
      <c r="Q410" s="311"/>
      <c r="R410" s="91"/>
      <c r="S410" s="68">
        <f t="shared" si="56"/>
        <v>0</v>
      </c>
      <c r="T410" s="68"/>
      <c r="U410" s="68">
        <v>2500000</v>
      </c>
      <c r="V410" s="10">
        <v>2</v>
      </c>
      <c r="W410" s="2"/>
      <c r="X410" s="2"/>
      <c r="Y410" s="2"/>
      <c r="Z410" s="2"/>
      <c r="AA410" s="2"/>
      <c r="AB410" s="2"/>
      <c r="AC410" s="2"/>
      <c r="AD410" s="2"/>
      <c r="AE410" s="2"/>
      <c r="AF410" s="2"/>
      <c r="AG410" s="2"/>
      <c r="AH410" s="2"/>
      <c r="AI410" s="14"/>
      <c r="AJ410" s="140">
        <v>100</v>
      </c>
      <c r="AK410" s="135" t="s">
        <v>1119</v>
      </c>
      <c r="AL410" s="136">
        <v>7258202</v>
      </c>
      <c r="AM410" s="139">
        <v>60</v>
      </c>
    </row>
    <row r="411" spans="1:40" s="51" customFormat="1" ht="49.5">
      <c r="A411" s="34" t="s">
        <v>878</v>
      </c>
      <c r="B411" s="34"/>
      <c r="C411" s="72"/>
      <c r="D411" s="72" t="s">
        <v>1198</v>
      </c>
      <c r="E411" s="120" t="s">
        <v>905</v>
      </c>
      <c r="F411" s="120"/>
      <c r="G411" s="132" t="s">
        <v>197</v>
      </c>
      <c r="H411" s="132" t="s">
        <v>198</v>
      </c>
      <c r="I411" s="132" t="s">
        <v>108</v>
      </c>
      <c r="J411" s="133" t="s">
        <v>199</v>
      </c>
      <c r="K411" s="134" t="s">
        <v>452</v>
      </c>
      <c r="L411" s="307">
        <f t="shared" si="54"/>
        <v>1000000</v>
      </c>
      <c r="M411" s="308"/>
      <c r="N411" s="308">
        <v>1000000</v>
      </c>
      <c r="O411" s="311"/>
      <c r="P411" s="311"/>
      <c r="Q411" s="311"/>
      <c r="R411" s="91"/>
      <c r="S411" s="68">
        <f t="shared" si="56"/>
        <v>0</v>
      </c>
      <c r="T411" s="68"/>
      <c r="U411" s="68">
        <v>1000000</v>
      </c>
      <c r="V411" s="10">
        <v>2</v>
      </c>
      <c r="W411" s="2"/>
      <c r="X411" s="2"/>
      <c r="Y411" s="2"/>
      <c r="Z411" s="2"/>
      <c r="AA411" s="2"/>
      <c r="AB411" s="2"/>
      <c r="AC411" s="2"/>
      <c r="AD411" s="2"/>
      <c r="AE411" s="2"/>
      <c r="AF411" s="2"/>
      <c r="AG411" s="2"/>
      <c r="AH411" s="2"/>
      <c r="AI411" s="14"/>
      <c r="AJ411" s="140">
        <v>17</v>
      </c>
      <c r="AK411" s="135" t="s">
        <v>1120</v>
      </c>
      <c r="AL411" s="136">
        <v>13896960</v>
      </c>
      <c r="AM411" s="139">
        <v>10</v>
      </c>
    </row>
    <row r="412" spans="1:40" s="51" customFormat="1" ht="82.5">
      <c r="A412" s="34" t="s">
        <v>878</v>
      </c>
      <c r="B412" s="34"/>
      <c r="C412" s="72"/>
      <c r="D412" s="72" t="s">
        <v>1198</v>
      </c>
      <c r="E412" s="120" t="s">
        <v>905</v>
      </c>
      <c r="F412" s="120"/>
      <c r="G412" s="132" t="s">
        <v>197</v>
      </c>
      <c r="H412" s="132" t="s">
        <v>198</v>
      </c>
      <c r="I412" s="132" t="s">
        <v>108</v>
      </c>
      <c r="J412" s="133" t="s">
        <v>199</v>
      </c>
      <c r="K412" s="134" t="s">
        <v>1139</v>
      </c>
      <c r="L412" s="307">
        <f t="shared" si="54"/>
        <v>1000000</v>
      </c>
      <c r="M412" s="308"/>
      <c r="N412" s="308">
        <v>1000000</v>
      </c>
      <c r="O412" s="311"/>
      <c r="P412" s="311"/>
      <c r="Q412" s="311"/>
      <c r="R412" s="91"/>
      <c r="S412" s="68">
        <f t="shared" si="56"/>
        <v>0</v>
      </c>
      <c r="T412" s="68"/>
      <c r="U412" s="68">
        <v>1000000</v>
      </c>
      <c r="V412" s="10">
        <v>2</v>
      </c>
      <c r="W412" s="2"/>
      <c r="X412" s="2"/>
      <c r="Y412" s="2"/>
      <c r="Z412" s="2"/>
      <c r="AA412" s="2"/>
      <c r="AB412" s="2"/>
      <c r="AC412" s="2"/>
      <c r="AD412" s="2"/>
      <c r="AE412" s="2"/>
      <c r="AF412" s="2"/>
      <c r="AG412" s="2"/>
      <c r="AH412" s="2"/>
      <c r="AI412" s="14"/>
      <c r="AJ412" s="140">
        <v>37</v>
      </c>
      <c r="AK412" s="135" t="s">
        <v>1120</v>
      </c>
      <c r="AL412" s="136">
        <v>14595401</v>
      </c>
      <c r="AM412" s="139">
        <v>30</v>
      </c>
    </row>
    <row r="413" spans="1:40" s="51" customFormat="1" ht="49.5">
      <c r="A413" s="34" t="s">
        <v>878</v>
      </c>
      <c r="B413" s="34"/>
      <c r="C413" s="72"/>
      <c r="D413" s="72" t="s">
        <v>1198</v>
      </c>
      <c r="E413" s="120" t="s">
        <v>905</v>
      </c>
      <c r="F413" s="120"/>
      <c r="G413" s="132" t="s">
        <v>197</v>
      </c>
      <c r="H413" s="132" t="s">
        <v>198</v>
      </c>
      <c r="I413" s="132" t="s">
        <v>108</v>
      </c>
      <c r="J413" s="133" t="s">
        <v>199</v>
      </c>
      <c r="K413" s="134" t="s">
        <v>1060</v>
      </c>
      <c r="L413" s="307">
        <f t="shared" ref="L413:L444" si="57">SUM(M413:Q413)</f>
        <v>500000</v>
      </c>
      <c r="M413" s="308"/>
      <c r="N413" s="308">
        <v>500000</v>
      </c>
      <c r="O413" s="311"/>
      <c r="P413" s="311"/>
      <c r="Q413" s="311"/>
      <c r="R413" s="91"/>
      <c r="S413" s="68">
        <f t="shared" si="56"/>
        <v>0</v>
      </c>
      <c r="T413" s="68"/>
      <c r="U413" s="68">
        <v>500000</v>
      </c>
      <c r="V413" s="10">
        <v>2</v>
      </c>
      <c r="W413" s="2"/>
      <c r="X413" s="2"/>
      <c r="Y413" s="2"/>
      <c r="Z413" s="2"/>
      <c r="AA413" s="2"/>
      <c r="AB413" s="2"/>
      <c r="AC413" s="2"/>
      <c r="AD413" s="2"/>
      <c r="AE413" s="2"/>
      <c r="AF413" s="2"/>
      <c r="AG413" s="2"/>
      <c r="AH413" s="2"/>
      <c r="AI413" s="14"/>
      <c r="AJ413" s="140">
        <v>3</v>
      </c>
      <c r="AK413" s="135" t="s">
        <v>1120</v>
      </c>
      <c r="AL413" s="136">
        <v>27087880</v>
      </c>
      <c r="AM413" s="139">
        <v>1</v>
      </c>
    </row>
    <row r="414" spans="1:40" s="51" customFormat="1" ht="49.5">
      <c r="A414" s="34" t="s">
        <v>878</v>
      </c>
      <c r="B414" s="34"/>
      <c r="C414" s="72"/>
      <c r="D414" s="72" t="s">
        <v>1198</v>
      </c>
      <c r="E414" s="120" t="s">
        <v>905</v>
      </c>
      <c r="F414" s="120"/>
      <c r="G414" s="132" t="s">
        <v>197</v>
      </c>
      <c r="H414" s="132" t="s">
        <v>198</v>
      </c>
      <c r="I414" s="132" t="s">
        <v>108</v>
      </c>
      <c r="J414" s="133" t="s">
        <v>199</v>
      </c>
      <c r="K414" s="134" t="s">
        <v>1061</v>
      </c>
      <c r="L414" s="307">
        <f t="shared" si="57"/>
        <v>500000</v>
      </c>
      <c r="M414" s="308"/>
      <c r="N414" s="308">
        <v>500000</v>
      </c>
      <c r="O414" s="311"/>
      <c r="P414" s="311"/>
      <c r="Q414" s="311"/>
      <c r="R414" s="91"/>
      <c r="S414" s="68">
        <f t="shared" si="56"/>
        <v>0</v>
      </c>
      <c r="T414" s="68"/>
      <c r="U414" s="68">
        <v>500000</v>
      </c>
      <c r="V414" s="10">
        <v>2</v>
      </c>
      <c r="W414" s="2"/>
      <c r="X414" s="2"/>
      <c r="Y414" s="2"/>
      <c r="Z414" s="2"/>
      <c r="AA414" s="2"/>
      <c r="AB414" s="2"/>
      <c r="AC414" s="2"/>
      <c r="AD414" s="2"/>
      <c r="AE414" s="2"/>
      <c r="AF414" s="2"/>
      <c r="AG414" s="2"/>
      <c r="AH414" s="2"/>
      <c r="AI414" s="14"/>
      <c r="AJ414" s="140">
        <v>8</v>
      </c>
      <c r="AK414" s="135" t="s">
        <v>1120</v>
      </c>
      <c r="AL414" s="136">
        <v>7079680</v>
      </c>
      <c r="AM414" s="139">
        <v>1</v>
      </c>
    </row>
    <row r="415" spans="1:40" s="51" customFormat="1" ht="66">
      <c r="A415" s="34" t="s">
        <v>878</v>
      </c>
      <c r="B415" s="34"/>
      <c r="C415" s="72"/>
      <c r="D415" s="72" t="s">
        <v>1198</v>
      </c>
      <c r="E415" s="120" t="s">
        <v>905</v>
      </c>
      <c r="F415" s="120"/>
      <c r="G415" s="132" t="s">
        <v>197</v>
      </c>
      <c r="H415" s="132" t="s">
        <v>198</v>
      </c>
      <c r="I415" s="132" t="s">
        <v>108</v>
      </c>
      <c r="J415" s="133" t="s">
        <v>199</v>
      </c>
      <c r="K415" s="134" t="s">
        <v>1062</v>
      </c>
      <c r="L415" s="307">
        <f t="shared" si="57"/>
        <v>9119585</v>
      </c>
      <c r="M415" s="308">
        <v>6434980</v>
      </c>
      <c r="N415" s="308">
        <v>2684605</v>
      </c>
      <c r="O415" s="311"/>
      <c r="P415" s="311"/>
      <c r="Q415" s="311"/>
      <c r="R415" s="91"/>
      <c r="S415" s="68">
        <f t="shared" si="56"/>
        <v>0</v>
      </c>
      <c r="T415" s="68"/>
      <c r="U415" s="68">
        <v>2684605</v>
      </c>
      <c r="V415" s="10">
        <v>2</v>
      </c>
      <c r="W415" s="2"/>
      <c r="X415" s="2"/>
      <c r="Y415" s="2"/>
      <c r="Z415" s="2"/>
      <c r="AA415" s="2"/>
      <c r="AB415" s="2"/>
      <c r="AC415" s="2"/>
      <c r="AD415" s="2"/>
      <c r="AE415" s="2"/>
      <c r="AF415" s="2"/>
      <c r="AG415" s="2"/>
      <c r="AH415" s="2"/>
      <c r="AI415" s="14"/>
      <c r="AJ415" s="140">
        <v>48</v>
      </c>
      <c r="AK415" s="135" t="s">
        <v>402</v>
      </c>
      <c r="AL415" s="136">
        <v>56614306</v>
      </c>
      <c r="AM415" s="139">
        <v>40</v>
      </c>
    </row>
    <row r="416" spans="1:40" s="27" customFormat="1" ht="66">
      <c r="A416" s="34" t="s">
        <v>878</v>
      </c>
      <c r="B416" s="34"/>
      <c r="C416" s="72"/>
      <c r="D416" s="72" t="s">
        <v>1198</v>
      </c>
      <c r="E416" s="120" t="s">
        <v>905</v>
      </c>
      <c r="F416" s="120"/>
      <c r="G416" s="132" t="s">
        <v>197</v>
      </c>
      <c r="H416" s="132" t="s">
        <v>198</v>
      </c>
      <c r="I416" s="132" t="s">
        <v>108</v>
      </c>
      <c r="J416" s="133" t="s">
        <v>199</v>
      </c>
      <c r="K416" s="134" t="s">
        <v>1118</v>
      </c>
      <c r="L416" s="307">
        <f t="shared" si="57"/>
        <v>500000</v>
      </c>
      <c r="M416" s="308"/>
      <c r="N416" s="308">
        <v>500000</v>
      </c>
      <c r="O416" s="311"/>
      <c r="P416" s="311"/>
      <c r="Q416" s="311"/>
      <c r="R416" s="91"/>
      <c r="S416" s="68">
        <f t="shared" si="56"/>
        <v>0</v>
      </c>
      <c r="T416" s="68"/>
      <c r="U416" s="40">
        <v>500000</v>
      </c>
      <c r="V416" s="10">
        <v>2</v>
      </c>
      <c r="W416" s="2" t="s">
        <v>273</v>
      </c>
      <c r="X416" s="2"/>
      <c r="Y416" s="2"/>
      <c r="Z416" s="2"/>
      <c r="AA416" s="2"/>
      <c r="AB416" s="2">
        <v>7700000</v>
      </c>
      <c r="AC416" s="2"/>
      <c r="AD416" s="2"/>
      <c r="AE416" s="2"/>
      <c r="AF416" s="2"/>
      <c r="AG416" s="2"/>
      <c r="AH416" s="2"/>
      <c r="AI416" s="14"/>
      <c r="AJ416" s="140">
        <v>18</v>
      </c>
      <c r="AK416" s="135" t="s">
        <v>402</v>
      </c>
      <c r="AL416" s="136">
        <v>23442530</v>
      </c>
      <c r="AM416" s="139">
        <v>1</v>
      </c>
      <c r="AN416" s="51"/>
    </row>
    <row r="417" spans="1:40" s="66" customFormat="1" ht="49.5">
      <c r="A417" s="72" t="s">
        <v>878</v>
      </c>
      <c r="B417" s="72"/>
      <c r="C417" s="72"/>
      <c r="D417" s="72"/>
      <c r="E417" s="120"/>
      <c r="F417" s="120"/>
      <c r="G417" s="160" t="s">
        <v>197</v>
      </c>
      <c r="H417" s="160" t="s">
        <v>198</v>
      </c>
      <c r="I417" s="160" t="s">
        <v>108</v>
      </c>
      <c r="J417" s="161" t="s">
        <v>199</v>
      </c>
      <c r="K417" s="155" t="s">
        <v>1379</v>
      </c>
      <c r="L417" s="307">
        <f t="shared" si="57"/>
        <v>10000000</v>
      </c>
      <c r="M417" s="308">
        <v>10000000</v>
      </c>
      <c r="N417" s="308"/>
      <c r="O417" s="311"/>
      <c r="P417" s="311"/>
      <c r="Q417" s="311"/>
      <c r="R417" s="91"/>
      <c r="S417" s="68"/>
      <c r="T417" s="68"/>
      <c r="U417" s="40"/>
      <c r="V417" s="10"/>
      <c r="W417" s="68"/>
      <c r="X417" s="68"/>
      <c r="Y417" s="68"/>
      <c r="Z417" s="68"/>
      <c r="AA417" s="68"/>
      <c r="AB417" s="68"/>
      <c r="AC417" s="68"/>
      <c r="AD417" s="68"/>
      <c r="AE417" s="68"/>
      <c r="AF417" s="68"/>
      <c r="AG417" s="68"/>
      <c r="AH417" s="68"/>
      <c r="AI417" s="71"/>
      <c r="AJ417" s="156"/>
      <c r="AK417" s="78">
        <v>2021</v>
      </c>
      <c r="AL417" s="70"/>
      <c r="AM417" s="159"/>
    </row>
    <row r="418" spans="1:40" s="27" customFormat="1" ht="66">
      <c r="A418" s="34" t="s">
        <v>878</v>
      </c>
      <c r="B418" s="34"/>
      <c r="C418" s="72"/>
      <c r="D418" s="72" t="s">
        <v>1199</v>
      </c>
      <c r="E418" s="120" t="s">
        <v>905</v>
      </c>
      <c r="F418" s="120"/>
      <c r="G418" s="132" t="s">
        <v>197</v>
      </c>
      <c r="H418" s="132" t="s">
        <v>198</v>
      </c>
      <c r="I418" s="132" t="s">
        <v>108</v>
      </c>
      <c r="J418" s="133" t="s">
        <v>199</v>
      </c>
      <c r="K418" s="134" t="s">
        <v>979</v>
      </c>
      <c r="L418" s="307">
        <f t="shared" si="57"/>
        <v>25000000</v>
      </c>
      <c r="M418" s="308"/>
      <c r="N418" s="308">
        <v>25000000</v>
      </c>
      <c r="O418" s="311"/>
      <c r="P418" s="311"/>
      <c r="Q418" s="311"/>
      <c r="R418" s="91"/>
      <c r="S418" s="68">
        <f t="shared" ref="S418:S458" si="58">N418-U418</f>
        <v>0</v>
      </c>
      <c r="T418" s="68"/>
      <c r="U418" s="68">
        <v>25000000</v>
      </c>
      <c r="V418" s="10">
        <v>2</v>
      </c>
      <c r="W418" s="2" t="s">
        <v>273</v>
      </c>
      <c r="X418" s="2"/>
      <c r="Y418" s="2"/>
      <c r="Z418" s="2"/>
      <c r="AA418" s="2"/>
      <c r="AB418" s="2">
        <v>550000</v>
      </c>
      <c r="AC418" s="2"/>
      <c r="AD418" s="2"/>
      <c r="AE418" s="2"/>
      <c r="AF418" s="2"/>
      <c r="AG418" s="2"/>
      <c r="AH418" s="2"/>
      <c r="AI418" s="14"/>
      <c r="AJ418" s="140">
        <v>100</v>
      </c>
      <c r="AK418" s="135" t="s">
        <v>352</v>
      </c>
      <c r="AL418" s="136">
        <v>68942000</v>
      </c>
      <c r="AM418" s="139">
        <v>34</v>
      </c>
      <c r="AN418" s="51"/>
    </row>
    <row r="419" spans="1:40" s="27" customFormat="1" ht="66">
      <c r="A419" s="34" t="s">
        <v>878</v>
      </c>
      <c r="B419" s="34"/>
      <c r="C419" s="72"/>
      <c r="D419" s="72" t="s">
        <v>1199</v>
      </c>
      <c r="E419" s="120" t="s">
        <v>905</v>
      </c>
      <c r="F419" s="120"/>
      <c r="G419" s="132" t="s">
        <v>197</v>
      </c>
      <c r="H419" s="132" t="s">
        <v>198</v>
      </c>
      <c r="I419" s="132" t="s">
        <v>108</v>
      </c>
      <c r="J419" s="133" t="s">
        <v>199</v>
      </c>
      <c r="K419" s="134" t="s">
        <v>453</v>
      </c>
      <c r="L419" s="307">
        <f t="shared" si="57"/>
        <v>3300000</v>
      </c>
      <c r="M419" s="308"/>
      <c r="N419" s="308">
        <v>3300000</v>
      </c>
      <c r="O419" s="311"/>
      <c r="P419" s="311"/>
      <c r="Q419" s="311"/>
      <c r="R419" s="91"/>
      <c r="S419" s="68">
        <f t="shared" si="58"/>
        <v>0</v>
      </c>
      <c r="T419" s="68"/>
      <c r="U419" s="68">
        <v>3300000</v>
      </c>
      <c r="V419" s="10">
        <v>2</v>
      </c>
      <c r="W419" s="2" t="s">
        <v>273</v>
      </c>
      <c r="X419" s="2"/>
      <c r="Y419" s="2">
        <v>4000000</v>
      </c>
      <c r="Z419" s="2"/>
      <c r="AA419" s="2"/>
      <c r="AB419" s="2"/>
      <c r="AC419" s="2"/>
      <c r="AD419" s="2"/>
      <c r="AE419" s="2"/>
      <c r="AF419" s="2"/>
      <c r="AG419" s="2"/>
      <c r="AH419" s="2"/>
      <c r="AI419" s="14"/>
      <c r="AJ419" s="140">
        <v>100</v>
      </c>
      <c r="AK419" s="135" t="s">
        <v>346</v>
      </c>
      <c r="AL419" s="136">
        <v>8539832</v>
      </c>
      <c r="AM419" s="139">
        <v>61</v>
      </c>
      <c r="AN419" s="51"/>
    </row>
    <row r="420" spans="1:40" s="27" customFormat="1" ht="66">
      <c r="A420" s="34" t="s">
        <v>878</v>
      </c>
      <c r="B420" s="34"/>
      <c r="C420" s="72"/>
      <c r="D420" s="72" t="s">
        <v>1199</v>
      </c>
      <c r="E420" s="120" t="s">
        <v>905</v>
      </c>
      <c r="F420" s="120"/>
      <c r="G420" s="132" t="s">
        <v>197</v>
      </c>
      <c r="H420" s="132" t="s">
        <v>198</v>
      </c>
      <c r="I420" s="132" t="s">
        <v>108</v>
      </c>
      <c r="J420" s="133" t="s">
        <v>199</v>
      </c>
      <c r="K420" s="134" t="s">
        <v>980</v>
      </c>
      <c r="L420" s="307">
        <f t="shared" si="57"/>
        <v>3950000</v>
      </c>
      <c r="M420" s="308"/>
      <c r="N420" s="308">
        <v>3950000</v>
      </c>
      <c r="O420" s="311"/>
      <c r="P420" s="311"/>
      <c r="Q420" s="311"/>
      <c r="R420" s="91"/>
      <c r="S420" s="68">
        <f t="shared" si="58"/>
        <v>0</v>
      </c>
      <c r="T420" s="68"/>
      <c r="U420" s="40">
        <v>3950000</v>
      </c>
      <c r="V420" s="10">
        <v>2</v>
      </c>
      <c r="W420" s="2" t="s">
        <v>273</v>
      </c>
      <c r="X420" s="2"/>
      <c r="Y420" s="2">
        <v>1000000</v>
      </c>
      <c r="Z420" s="2"/>
      <c r="AA420" s="2"/>
      <c r="AB420" s="2"/>
      <c r="AC420" s="2"/>
      <c r="AD420" s="2"/>
      <c r="AE420" s="2"/>
      <c r="AF420" s="2"/>
      <c r="AG420" s="2"/>
      <c r="AH420" s="2"/>
      <c r="AI420" s="14"/>
      <c r="AJ420" s="140">
        <v>37</v>
      </c>
      <c r="AK420" s="135" t="s">
        <v>352</v>
      </c>
      <c r="AL420" s="136">
        <v>9840040</v>
      </c>
      <c r="AM420" s="139">
        <v>17</v>
      </c>
      <c r="AN420" s="51"/>
    </row>
    <row r="421" spans="1:40" s="27" customFormat="1" ht="66">
      <c r="A421" s="34" t="s">
        <v>878</v>
      </c>
      <c r="B421" s="34"/>
      <c r="C421" s="72"/>
      <c r="D421" s="72" t="s">
        <v>1199</v>
      </c>
      <c r="E421" s="120" t="s">
        <v>905</v>
      </c>
      <c r="F421" s="120"/>
      <c r="G421" s="132" t="s">
        <v>197</v>
      </c>
      <c r="H421" s="132" t="s">
        <v>198</v>
      </c>
      <c r="I421" s="132" t="s">
        <v>108</v>
      </c>
      <c r="J421" s="133" t="s">
        <v>199</v>
      </c>
      <c r="K421" s="134" t="s">
        <v>1063</v>
      </c>
      <c r="L421" s="307">
        <f t="shared" si="57"/>
        <v>1700000</v>
      </c>
      <c r="M421" s="308"/>
      <c r="N421" s="308">
        <v>1700000</v>
      </c>
      <c r="O421" s="311"/>
      <c r="P421" s="311"/>
      <c r="Q421" s="311"/>
      <c r="R421" s="91"/>
      <c r="S421" s="68">
        <f t="shared" si="58"/>
        <v>0</v>
      </c>
      <c r="T421" s="68"/>
      <c r="U421" s="68">
        <v>1700000</v>
      </c>
      <c r="V421" s="10">
        <v>3</v>
      </c>
      <c r="W421" s="2" t="s">
        <v>273</v>
      </c>
      <c r="X421" s="2"/>
      <c r="Y421" s="2">
        <v>4000000</v>
      </c>
      <c r="Z421" s="2"/>
      <c r="AA421" s="2"/>
      <c r="AB421" s="2"/>
      <c r="AC421" s="2"/>
      <c r="AD421" s="2"/>
      <c r="AE421" s="2"/>
      <c r="AF421" s="2"/>
      <c r="AG421" s="2"/>
      <c r="AH421" s="2"/>
      <c r="AI421" s="14"/>
      <c r="AJ421" s="140">
        <v>100</v>
      </c>
      <c r="AK421" s="135">
        <v>2021</v>
      </c>
      <c r="AL421" s="136">
        <v>1700000</v>
      </c>
      <c r="AM421" s="139"/>
      <c r="AN421" s="51"/>
    </row>
    <row r="422" spans="1:40" s="27" customFormat="1" ht="66">
      <c r="A422" s="34" t="s">
        <v>878</v>
      </c>
      <c r="B422" s="34"/>
      <c r="C422" s="72"/>
      <c r="D422" s="72" t="s">
        <v>1200</v>
      </c>
      <c r="E422" s="120" t="s">
        <v>905</v>
      </c>
      <c r="F422" s="120"/>
      <c r="G422" s="132" t="s">
        <v>197</v>
      </c>
      <c r="H422" s="132" t="s">
        <v>198</v>
      </c>
      <c r="I422" s="132" t="s">
        <v>108</v>
      </c>
      <c r="J422" s="133" t="s">
        <v>199</v>
      </c>
      <c r="K422" s="134" t="s">
        <v>842</v>
      </c>
      <c r="L422" s="307">
        <f t="shared" si="57"/>
        <v>3000000</v>
      </c>
      <c r="M422" s="308"/>
      <c r="N422" s="308">
        <v>3000000</v>
      </c>
      <c r="O422" s="311"/>
      <c r="P422" s="311"/>
      <c r="Q422" s="311"/>
      <c r="R422" s="91"/>
      <c r="S422" s="68">
        <f t="shared" si="58"/>
        <v>0</v>
      </c>
      <c r="T422" s="68"/>
      <c r="U422" s="68">
        <v>3000000</v>
      </c>
      <c r="V422" s="10">
        <v>3</v>
      </c>
      <c r="W422" s="2" t="s">
        <v>273</v>
      </c>
      <c r="X422" s="2"/>
      <c r="Y422" s="2">
        <v>2000000</v>
      </c>
      <c r="Z422" s="2"/>
      <c r="AA422" s="2"/>
      <c r="AB422" s="2"/>
      <c r="AC422" s="2"/>
      <c r="AD422" s="2"/>
      <c r="AE422" s="2"/>
      <c r="AF422" s="2"/>
      <c r="AG422" s="2"/>
      <c r="AH422" s="2"/>
      <c r="AI422" s="14"/>
      <c r="AJ422" s="140">
        <v>100</v>
      </c>
      <c r="AK422" s="135">
        <v>2021</v>
      </c>
      <c r="AL422" s="136">
        <v>3000000</v>
      </c>
      <c r="AM422" s="139"/>
      <c r="AN422" s="51"/>
    </row>
    <row r="423" spans="1:40" s="27" customFormat="1" ht="33">
      <c r="A423" s="34" t="s">
        <v>878</v>
      </c>
      <c r="B423" s="34"/>
      <c r="C423" s="72"/>
      <c r="D423" s="72" t="s">
        <v>1205</v>
      </c>
      <c r="E423" s="120" t="s">
        <v>902</v>
      </c>
      <c r="F423" s="120"/>
      <c r="G423" s="132" t="s">
        <v>197</v>
      </c>
      <c r="H423" s="132" t="s">
        <v>198</v>
      </c>
      <c r="I423" s="132" t="s">
        <v>108</v>
      </c>
      <c r="J423" s="133" t="s">
        <v>199</v>
      </c>
      <c r="K423" s="134" t="s">
        <v>1121</v>
      </c>
      <c r="L423" s="307">
        <f t="shared" si="57"/>
        <v>3300000</v>
      </c>
      <c r="M423" s="308"/>
      <c r="N423" s="308">
        <v>3300000</v>
      </c>
      <c r="O423" s="311"/>
      <c r="P423" s="311"/>
      <c r="Q423" s="311"/>
      <c r="R423" s="91"/>
      <c r="S423" s="68">
        <f t="shared" si="58"/>
        <v>0</v>
      </c>
      <c r="T423" s="68"/>
      <c r="U423" s="68">
        <v>3300000</v>
      </c>
      <c r="V423" s="10">
        <v>1</v>
      </c>
      <c r="W423" s="2" t="s">
        <v>273</v>
      </c>
      <c r="X423" s="2"/>
      <c r="Y423" s="2">
        <v>1900000</v>
      </c>
      <c r="Z423" s="2"/>
      <c r="AA423" s="2"/>
      <c r="AB423" s="2"/>
      <c r="AC423" s="2"/>
      <c r="AD423" s="2"/>
      <c r="AE423" s="2"/>
      <c r="AF423" s="2"/>
      <c r="AG423" s="2"/>
      <c r="AH423" s="2"/>
      <c r="AI423" s="14"/>
      <c r="AJ423" s="140">
        <v>100</v>
      </c>
      <c r="AK423" s="135" t="s">
        <v>347</v>
      </c>
      <c r="AL423" s="136">
        <v>15398620</v>
      </c>
      <c r="AM423" s="139">
        <v>76</v>
      </c>
      <c r="AN423" s="51"/>
    </row>
    <row r="424" spans="1:40" s="27" customFormat="1" ht="66">
      <c r="A424" s="34" t="s">
        <v>878</v>
      </c>
      <c r="B424" s="34"/>
      <c r="C424" s="72"/>
      <c r="D424" s="72" t="s">
        <v>1201</v>
      </c>
      <c r="E424" s="120" t="s">
        <v>901</v>
      </c>
      <c r="F424" s="120"/>
      <c r="G424" s="132" t="s">
        <v>197</v>
      </c>
      <c r="H424" s="132" t="s">
        <v>198</v>
      </c>
      <c r="I424" s="132" t="s">
        <v>108</v>
      </c>
      <c r="J424" s="133" t="s">
        <v>199</v>
      </c>
      <c r="K424" s="134" t="s">
        <v>1141</v>
      </c>
      <c r="L424" s="307">
        <f t="shared" si="57"/>
        <v>6000000</v>
      </c>
      <c r="M424" s="308"/>
      <c r="N424" s="308">
        <v>6000000</v>
      </c>
      <c r="O424" s="311"/>
      <c r="P424" s="311"/>
      <c r="Q424" s="311"/>
      <c r="R424" s="91"/>
      <c r="S424" s="68">
        <f t="shared" si="58"/>
        <v>0</v>
      </c>
      <c r="T424" s="68"/>
      <c r="U424" s="68">
        <v>6000000</v>
      </c>
      <c r="V424" s="10">
        <v>2</v>
      </c>
      <c r="W424" s="2" t="s">
        <v>273</v>
      </c>
      <c r="X424" s="2"/>
      <c r="Y424" s="2">
        <v>4000000</v>
      </c>
      <c r="Z424" s="2"/>
      <c r="AA424" s="2"/>
      <c r="AB424" s="2"/>
      <c r="AC424" s="2"/>
      <c r="AD424" s="2"/>
      <c r="AE424" s="2"/>
      <c r="AF424" s="2"/>
      <c r="AG424" s="2"/>
      <c r="AH424" s="2"/>
      <c r="AI424" s="14"/>
      <c r="AJ424" s="140">
        <v>46</v>
      </c>
      <c r="AK424" s="135" t="s">
        <v>352</v>
      </c>
      <c r="AL424" s="136">
        <v>36808291</v>
      </c>
      <c r="AM424" s="139">
        <v>28</v>
      </c>
      <c r="AN424" s="51"/>
    </row>
    <row r="425" spans="1:40" s="27" customFormat="1" ht="66">
      <c r="A425" s="34" t="s">
        <v>878</v>
      </c>
      <c r="B425" s="34"/>
      <c r="C425" s="72"/>
      <c r="D425" s="72" t="s">
        <v>1201</v>
      </c>
      <c r="E425" s="120" t="s">
        <v>901</v>
      </c>
      <c r="F425" s="120"/>
      <c r="G425" s="132" t="s">
        <v>197</v>
      </c>
      <c r="H425" s="132" t="s">
        <v>198</v>
      </c>
      <c r="I425" s="132" t="s">
        <v>108</v>
      </c>
      <c r="J425" s="133" t="s">
        <v>199</v>
      </c>
      <c r="K425" s="134" t="s">
        <v>1142</v>
      </c>
      <c r="L425" s="307">
        <f t="shared" si="57"/>
        <v>3800000</v>
      </c>
      <c r="M425" s="308"/>
      <c r="N425" s="308">
        <v>3800000</v>
      </c>
      <c r="O425" s="311"/>
      <c r="P425" s="311"/>
      <c r="Q425" s="311"/>
      <c r="R425" s="91"/>
      <c r="S425" s="68">
        <f t="shared" si="58"/>
        <v>0</v>
      </c>
      <c r="T425" s="68"/>
      <c r="U425" s="68">
        <v>3800000</v>
      </c>
      <c r="V425" s="10">
        <v>2</v>
      </c>
      <c r="W425" s="2" t="s">
        <v>273</v>
      </c>
      <c r="X425" s="2"/>
      <c r="Y425" s="2">
        <v>5000000</v>
      </c>
      <c r="Z425" s="2"/>
      <c r="AA425" s="2"/>
      <c r="AB425" s="2"/>
      <c r="AC425" s="2"/>
      <c r="AD425" s="2"/>
      <c r="AE425" s="2"/>
      <c r="AF425" s="2"/>
      <c r="AG425" s="2"/>
      <c r="AH425" s="2"/>
      <c r="AI425" s="14"/>
      <c r="AJ425" s="140">
        <v>100</v>
      </c>
      <c r="AK425" s="135" t="s">
        <v>271</v>
      </c>
      <c r="AL425" s="136">
        <v>5000000</v>
      </c>
      <c r="AM425" s="139">
        <v>24</v>
      </c>
      <c r="AN425" s="51"/>
    </row>
    <row r="426" spans="1:40" s="27" customFormat="1" ht="66">
      <c r="A426" s="34" t="s">
        <v>878</v>
      </c>
      <c r="B426" s="34"/>
      <c r="C426" s="72"/>
      <c r="D426" s="72" t="s">
        <v>1201</v>
      </c>
      <c r="E426" s="120" t="s">
        <v>901</v>
      </c>
      <c r="F426" s="120"/>
      <c r="G426" s="132" t="s">
        <v>197</v>
      </c>
      <c r="H426" s="132" t="s">
        <v>198</v>
      </c>
      <c r="I426" s="132" t="s">
        <v>108</v>
      </c>
      <c r="J426" s="133" t="s">
        <v>199</v>
      </c>
      <c r="K426" s="134" t="s">
        <v>1143</v>
      </c>
      <c r="L426" s="307">
        <f t="shared" si="57"/>
        <v>972265</v>
      </c>
      <c r="M426" s="308"/>
      <c r="N426" s="308">
        <v>972265</v>
      </c>
      <c r="O426" s="311"/>
      <c r="P426" s="311"/>
      <c r="Q426" s="311"/>
      <c r="R426" s="91"/>
      <c r="S426" s="68">
        <f t="shared" si="58"/>
        <v>0</v>
      </c>
      <c r="T426" s="68"/>
      <c r="U426" s="68">
        <v>972265</v>
      </c>
      <c r="V426" s="10">
        <v>2</v>
      </c>
      <c r="W426" s="2" t="s">
        <v>273</v>
      </c>
      <c r="X426" s="2"/>
      <c r="Y426" s="2">
        <v>2500000</v>
      </c>
      <c r="Z426" s="2"/>
      <c r="AA426" s="2"/>
      <c r="AB426" s="2"/>
      <c r="AC426" s="2"/>
      <c r="AD426" s="2"/>
      <c r="AE426" s="2"/>
      <c r="AF426" s="2"/>
      <c r="AG426" s="2"/>
      <c r="AH426" s="2"/>
      <c r="AI426" s="14"/>
      <c r="AJ426" s="140">
        <v>100</v>
      </c>
      <c r="AK426" s="135" t="s">
        <v>271</v>
      </c>
      <c r="AL426" s="136">
        <v>972265</v>
      </c>
      <c r="AM426" s="139"/>
      <c r="AN426" s="51"/>
    </row>
    <row r="427" spans="1:40" s="27" customFormat="1" ht="66">
      <c r="A427" s="34" t="s">
        <v>878</v>
      </c>
      <c r="B427" s="34"/>
      <c r="C427" s="72"/>
      <c r="D427" s="72" t="s">
        <v>1201</v>
      </c>
      <c r="E427" s="120" t="s">
        <v>901</v>
      </c>
      <c r="F427" s="120"/>
      <c r="G427" s="132" t="s">
        <v>197</v>
      </c>
      <c r="H427" s="132" t="s">
        <v>198</v>
      </c>
      <c r="I427" s="132" t="s">
        <v>108</v>
      </c>
      <c r="J427" s="133" t="s">
        <v>199</v>
      </c>
      <c r="K427" s="134" t="s">
        <v>1144</v>
      </c>
      <c r="L427" s="307">
        <f t="shared" si="57"/>
        <v>257154</v>
      </c>
      <c r="M427" s="308"/>
      <c r="N427" s="308">
        <v>257154</v>
      </c>
      <c r="O427" s="286"/>
      <c r="P427" s="286"/>
      <c r="Q427" s="286"/>
      <c r="R427" s="78"/>
      <c r="S427" s="68">
        <f t="shared" si="58"/>
        <v>0</v>
      </c>
      <c r="T427" s="68"/>
      <c r="U427" s="68">
        <v>257154</v>
      </c>
      <c r="V427" s="10">
        <v>2</v>
      </c>
      <c r="W427" s="2" t="s">
        <v>273</v>
      </c>
      <c r="X427" s="2"/>
      <c r="Y427" s="2">
        <v>2500000</v>
      </c>
      <c r="Z427" s="2"/>
      <c r="AA427" s="2"/>
      <c r="AB427" s="2"/>
      <c r="AC427" s="2"/>
      <c r="AD427" s="2"/>
      <c r="AE427" s="2"/>
      <c r="AF427" s="2"/>
      <c r="AG427" s="2"/>
      <c r="AH427" s="2"/>
      <c r="AI427" s="14"/>
      <c r="AJ427" s="135">
        <v>100</v>
      </c>
      <c r="AK427" s="135" t="s">
        <v>271</v>
      </c>
      <c r="AL427" s="136">
        <v>257154</v>
      </c>
      <c r="AM427" s="139"/>
      <c r="AN427" s="51"/>
    </row>
    <row r="428" spans="1:40" s="27" customFormat="1" ht="66">
      <c r="A428" s="34" t="s">
        <v>878</v>
      </c>
      <c r="B428" s="34"/>
      <c r="C428" s="72"/>
      <c r="D428" s="72" t="s">
        <v>1201</v>
      </c>
      <c r="E428" s="120" t="s">
        <v>901</v>
      </c>
      <c r="F428" s="120"/>
      <c r="G428" s="132" t="s">
        <v>197</v>
      </c>
      <c r="H428" s="132" t="s">
        <v>198</v>
      </c>
      <c r="I428" s="132" t="s">
        <v>108</v>
      </c>
      <c r="J428" s="133" t="s">
        <v>199</v>
      </c>
      <c r="K428" s="134" t="s">
        <v>1145</v>
      </c>
      <c r="L428" s="307">
        <f t="shared" si="57"/>
        <v>1000000</v>
      </c>
      <c r="M428" s="308"/>
      <c r="N428" s="308">
        <v>1000000</v>
      </c>
      <c r="O428" s="286"/>
      <c r="P428" s="286"/>
      <c r="Q428" s="286"/>
      <c r="R428" s="78"/>
      <c r="S428" s="68">
        <f t="shared" si="58"/>
        <v>0</v>
      </c>
      <c r="T428" s="68"/>
      <c r="U428" s="68">
        <v>1000000</v>
      </c>
      <c r="V428" s="10">
        <v>2</v>
      </c>
      <c r="W428" s="2" t="s">
        <v>273</v>
      </c>
      <c r="X428" s="2"/>
      <c r="Y428" s="2">
        <v>1000000</v>
      </c>
      <c r="Z428" s="2"/>
      <c r="AA428" s="2"/>
      <c r="AB428" s="2"/>
      <c r="AC428" s="2"/>
      <c r="AD428" s="2"/>
      <c r="AE428" s="2"/>
      <c r="AF428" s="2"/>
      <c r="AG428" s="2"/>
      <c r="AH428" s="2"/>
      <c r="AI428" s="14"/>
      <c r="AJ428" s="135">
        <v>56</v>
      </c>
      <c r="AK428" s="135" t="s">
        <v>271</v>
      </c>
      <c r="AL428" s="136">
        <v>2679987</v>
      </c>
      <c r="AM428" s="139">
        <v>19</v>
      </c>
      <c r="AN428" s="51"/>
    </row>
    <row r="429" spans="1:40" s="27" customFormat="1" ht="49.5">
      <c r="A429" s="34" t="s">
        <v>878</v>
      </c>
      <c r="B429" s="34"/>
      <c r="C429" s="72"/>
      <c r="D429" s="72" t="s">
        <v>1206</v>
      </c>
      <c r="E429" s="120" t="s">
        <v>901</v>
      </c>
      <c r="F429" s="120"/>
      <c r="G429" s="132" t="s">
        <v>197</v>
      </c>
      <c r="H429" s="132" t="s">
        <v>198</v>
      </c>
      <c r="I429" s="132" t="s">
        <v>108</v>
      </c>
      <c r="J429" s="133" t="s">
        <v>199</v>
      </c>
      <c r="K429" s="134" t="s">
        <v>1334</v>
      </c>
      <c r="L429" s="307">
        <f t="shared" si="57"/>
        <v>500000</v>
      </c>
      <c r="M429" s="308"/>
      <c r="N429" s="308">
        <v>500000</v>
      </c>
      <c r="O429" s="311"/>
      <c r="P429" s="311"/>
      <c r="Q429" s="311"/>
      <c r="R429" s="91"/>
      <c r="S429" s="68">
        <f t="shared" si="58"/>
        <v>0</v>
      </c>
      <c r="T429" s="68"/>
      <c r="U429" s="68">
        <v>500000</v>
      </c>
      <c r="V429" s="10">
        <v>2</v>
      </c>
      <c r="W429" s="2" t="s">
        <v>273</v>
      </c>
      <c r="X429" s="2"/>
      <c r="Y429" s="2">
        <v>500000</v>
      </c>
      <c r="Z429" s="2"/>
      <c r="AA429" s="2"/>
      <c r="AB429" s="2"/>
      <c r="AC429" s="2"/>
      <c r="AD429" s="2"/>
      <c r="AE429" s="2"/>
      <c r="AF429" s="2"/>
      <c r="AG429" s="2"/>
      <c r="AH429" s="2"/>
      <c r="AI429" s="14"/>
      <c r="AJ429" s="140">
        <v>100</v>
      </c>
      <c r="AK429" s="135">
        <v>2021</v>
      </c>
      <c r="AL429" s="136">
        <v>665600</v>
      </c>
      <c r="AM429" s="139">
        <v>17</v>
      </c>
      <c r="AN429" s="51"/>
    </row>
    <row r="430" spans="1:40" s="27" customFormat="1" ht="66">
      <c r="A430" s="34" t="s">
        <v>878</v>
      </c>
      <c r="B430" s="34"/>
      <c r="C430" s="72"/>
      <c r="D430" s="72" t="s">
        <v>1202</v>
      </c>
      <c r="E430" s="120" t="s">
        <v>906</v>
      </c>
      <c r="F430" s="120"/>
      <c r="G430" s="132" t="s">
        <v>197</v>
      </c>
      <c r="H430" s="132" t="s">
        <v>198</v>
      </c>
      <c r="I430" s="132" t="s">
        <v>108</v>
      </c>
      <c r="J430" s="133" t="s">
        <v>199</v>
      </c>
      <c r="K430" s="134" t="s">
        <v>931</v>
      </c>
      <c r="L430" s="307">
        <f t="shared" si="57"/>
        <v>5536000</v>
      </c>
      <c r="M430" s="308"/>
      <c r="N430" s="308">
        <v>5536000</v>
      </c>
      <c r="O430" s="311"/>
      <c r="P430" s="311"/>
      <c r="Q430" s="311"/>
      <c r="R430" s="91"/>
      <c r="S430" s="68">
        <f t="shared" si="58"/>
        <v>0</v>
      </c>
      <c r="T430" s="68"/>
      <c r="U430" s="68">
        <v>5536000</v>
      </c>
      <c r="V430" s="10">
        <v>2</v>
      </c>
      <c r="W430" s="2" t="s">
        <v>273</v>
      </c>
      <c r="X430" s="2"/>
      <c r="Y430" s="2">
        <v>1000000</v>
      </c>
      <c r="Z430" s="2"/>
      <c r="AA430" s="2"/>
      <c r="AB430" s="2"/>
      <c r="AC430" s="2"/>
      <c r="AD430" s="2"/>
      <c r="AE430" s="2"/>
      <c r="AF430" s="2"/>
      <c r="AG430" s="2"/>
      <c r="AH430" s="2"/>
      <c r="AI430" s="14"/>
      <c r="AJ430" s="140">
        <v>100</v>
      </c>
      <c r="AK430" s="135" t="s">
        <v>271</v>
      </c>
      <c r="AL430" s="136">
        <v>5736040</v>
      </c>
      <c r="AM430" s="139">
        <v>3</v>
      </c>
      <c r="AN430" s="51"/>
    </row>
    <row r="431" spans="1:40" s="27" customFormat="1" ht="66">
      <c r="A431" s="34" t="s">
        <v>878</v>
      </c>
      <c r="B431" s="34"/>
      <c r="C431" s="72"/>
      <c r="D431" s="72" t="s">
        <v>1202</v>
      </c>
      <c r="E431" s="120" t="s">
        <v>906</v>
      </c>
      <c r="F431" s="120"/>
      <c r="G431" s="132" t="s">
        <v>197</v>
      </c>
      <c r="H431" s="132" t="s">
        <v>198</v>
      </c>
      <c r="I431" s="132" t="s">
        <v>108</v>
      </c>
      <c r="J431" s="133" t="s">
        <v>199</v>
      </c>
      <c r="K431" s="134" t="s">
        <v>993</v>
      </c>
      <c r="L431" s="307">
        <f t="shared" si="57"/>
        <v>1799000</v>
      </c>
      <c r="M431" s="308"/>
      <c r="N431" s="308">
        <v>1799000</v>
      </c>
      <c r="O431" s="311"/>
      <c r="P431" s="311"/>
      <c r="Q431" s="311"/>
      <c r="R431" s="91"/>
      <c r="S431" s="68">
        <f t="shared" si="58"/>
        <v>0</v>
      </c>
      <c r="T431" s="68"/>
      <c r="U431" s="68">
        <v>1799000</v>
      </c>
      <c r="V431" s="10">
        <v>2</v>
      </c>
      <c r="W431" s="2" t="s">
        <v>273</v>
      </c>
      <c r="X431" s="2"/>
      <c r="Y431" s="2">
        <v>500000</v>
      </c>
      <c r="Z431" s="2"/>
      <c r="AA431" s="2"/>
      <c r="AB431" s="2"/>
      <c r="AC431" s="2"/>
      <c r="AD431" s="2"/>
      <c r="AE431" s="2"/>
      <c r="AF431" s="2"/>
      <c r="AG431" s="2"/>
      <c r="AH431" s="2"/>
      <c r="AI431" s="14"/>
      <c r="AJ431" s="140">
        <v>100</v>
      </c>
      <c r="AK431" s="135" t="s">
        <v>271</v>
      </c>
      <c r="AL431" s="136">
        <v>4099932</v>
      </c>
      <c r="AM431" s="139">
        <v>56</v>
      </c>
      <c r="AN431" s="51"/>
    </row>
    <row r="432" spans="1:40" s="27" customFormat="1" ht="66">
      <c r="A432" s="34" t="s">
        <v>878</v>
      </c>
      <c r="B432" s="34"/>
      <c r="C432" s="72"/>
      <c r="D432" s="72" t="s">
        <v>1202</v>
      </c>
      <c r="E432" s="120" t="s">
        <v>906</v>
      </c>
      <c r="F432" s="120"/>
      <c r="G432" s="132" t="s">
        <v>197</v>
      </c>
      <c r="H432" s="132" t="s">
        <v>198</v>
      </c>
      <c r="I432" s="132" t="s">
        <v>108</v>
      </c>
      <c r="J432" s="133" t="s">
        <v>199</v>
      </c>
      <c r="K432" s="134" t="s">
        <v>932</v>
      </c>
      <c r="L432" s="307">
        <f t="shared" si="57"/>
        <v>554000</v>
      </c>
      <c r="M432" s="308"/>
      <c r="N432" s="308">
        <v>554000</v>
      </c>
      <c r="O432" s="311"/>
      <c r="P432" s="311"/>
      <c r="Q432" s="311"/>
      <c r="R432" s="91"/>
      <c r="S432" s="68">
        <f t="shared" si="58"/>
        <v>0</v>
      </c>
      <c r="T432" s="68"/>
      <c r="U432" s="68">
        <v>554000</v>
      </c>
      <c r="V432" s="10">
        <v>2</v>
      </c>
      <c r="W432" s="2" t="s">
        <v>273</v>
      </c>
      <c r="X432" s="2"/>
      <c r="Y432" s="2">
        <v>500000</v>
      </c>
      <c r="Z432" s="2"/>
      <c r="AA432" s="2"/>
      <c r="AB432" s="2"/>
      <c r="AC432" s="2"/>
      <c r="AD432" s="2"/>
      <c r="AE432" s="2"/>
      <c r="AF432" s="2"/>
      <c r="AG432" s="2"/>
      <c r="AH432" s="2"/>
      <c r="AI432" s="14"/>
      <c r="AJ432" s="140">
        <v>100</v>
      </c>
      <c r="AK432" s="135" t="s">
        <v>271</v>
      </c>
      <c r="AL432" s="136">
        <v>9257850</v>
      </c>
      <c r="AM432" s="139">
        <v>88</v>
      </c>
      <c r="AN432" s="51"/>
    </row>
    <row r="433" spans="1:40" s="27" customFormat="1" ht="66">
      <c r="A433" s="34" t="s">
        <v>878</v>
      </c>
      <c r="B433" s="34"/>
      <c r="C433" s="72"/>
      <c r="D433" s="72" t="s">
        <v>1204</v>
      </c>
      <c r="E433" s="120" t="s">
        <v>901</v>
      </c>
      <c r="F433" s="120"/>
      <c r="G433" s="132" t="s">
        <v>197</v>
      </c>
      <c r="H433" s="132" t="s">
        <v>198</v>
      </c>
      <c r="I433" s="132" t="s">
        <v>108</v>
      </c>
      <c r="J433" s="133" t="s">
        <v>199</v>
      </c>
      <c r="K433" s="134" t="s">
        <v>981</v>
      </c>
      <c r="L433" s="307">
        <f t="shared" si="57"/>
        <v>6500000</v>
      </c>
      <c r="M433" s="308"/>
      <c r="N433" s="308">
        <v>6500000</v>
      </c>
      <c r="O433" s="311"/>
      <c r="P433" s="311"/>
      <c r="Q433" s="311"/>
      <c r="R433" s="91"/>
      <c r="S433" s="68">
        <f t="shared" si="58"/>
        <v>0</v>
      </c>
      <c r="T433" s="68"/>
      <c r="U433" s="68">
        <v>6500000</v>
      </c>
      <c r="V433" s="10">
        <v>3</v>
      </c>
      <c r="W433" s="2" t="s">
        <v>273</v>
      </c>
      <c r="X433" s="2"/>
      <c r="Y433" s="2">
        <v>2684605</v>
      </c>
      <c r="Z433" s="2"/>
      <c r="AA433" s="2"/>
      <c r="AB433" s="2"/>
      <c r="AC433" s="2"/>
      <c r="AD433" s="2"/>
      <c r="AE433" s="2"/>
      <c r="AF433" s="2"/>
      <c r="AG433" s="2"/>
      <c r="AH433" s="2"/>
      <c r="AI433" s="14"/>
      <c r="AJ433" s="140">
        <v>100</v>
      </c>
      <c r="AK433" s="135" t="s">
        <v>271</v>
      </c>
      <c r="AL433" s="136">
        <v>7540926</v>
      </c>
      <c r="AM433" s="139">
        <v>3</v>
      </c>
      <c r="AN433" s="51"/>
    </row>
    <row r="434" spans="1:40" s="27" customFormat="1" ht="66">
      <c r="A434" s="34" t="s">
        <v>878</v>
      </c>
      <c r="B434" s="34"/>
      <c r="C434" s="72"/>
      <c r="D434" s="72" t="s">
        <v>1203</v>
      </c>
      <c r="E434" s="120" t="s">
        <v>905</v>
      </c>
      <c r="F434" s="120"/>
      <c r="G434" s="132" t="s">
        <v>197</v>
      </c>
      <c r="H434" s="132" t="s">
        <v>198</v>
      </c>
      <c r="I434" s="132" t="s">
        <v>108</v>
      </c>
      <c r="J434" s="133" t="s">
        <v>199</v>
      </c>
      <c r="K434" s="134" t="s">
        <v>1064</v>
      </c>
      <c r="L434" s="307">
        <f t="shared" si="57"/>
        <v>100000</v>
      </c>
      <c r="M434" s="308"/>
      <c r="N434" s="308">
        <f>200000-100000</f>
        <v>100000</v>
      </c>
      <c r="O434" s="311"/>
      <c r="P434" s="311"/>
      <c r="Q434" s="311"/>
      <c r="R434" s="91"/>
      <c r="S434" s="68">
        <f t="shared" si="58"/>
        <v>-100000</v>
      </c>
      <c r="T434" s="68"/>
      <c r="U434" s="68">
        <v>200000</v>
      </c>
      <c r="V434" s="10">
        <v>2</v>
      </c>
      <c r="W434" s="2" t="s">
        <v>273</v>
      </c>
      <c r="X434" s="2"/>
      <c r="Y434" s="2">
        <v>800000</v>
      </c>
      <c r="Z434" s="2"/>
      <c r="AA434" s="2"/>
      <c r="AB434" s="2"/>
      <c r="AC434" s="2"/>
      <c r="AD434" s="2"/>
      <c r="AE434" s="2"/>
      <c r="AF434" s="2"/>
      <c r="AG434" s="2"/>
      <c r="AH434" s="2"/>
      <c r="AI434" s="14"/>
      <c r="AJ434" s="140">
        <v>20</v>
      </c>
      <c r="AK434" s="135">
        <v>2020</v>
      </c>
      <c r="AL434" s="136">
        <v>1000000</v>
      </c>
      <c r="AM434" s="139"/>
      <c r="AN434" s="51"/>
    </row>
    <row r="435" spans="1:40" s="27" customFormat="1" ht="66">
      <c r="A435" s="34" t="s">
        <v>878</v>
      </c>
      <c r="B435" s="34"/>
      <c r="C435" s="72"/>
      <c r="D435" s="72" t="s">
        <v>1203</v>
      </c>
      <c r="E435" s="120" t="s">
        <v>905</v>
      </c>
      <c r="F435" s="120"/>
      <c r="G435" s="132" t="s">
        <v>197</v>
      </c>
      <c r="H435" s="132" t="s">
        <v>198</v>
      </c>
      <c r="I435" s="132" t="s">
        <v>108</v>
      </c>
      <c r="J435" s="133" t="s">
        <v>199</v>
      </c>
      <c r="K435" s="134" t="s">
        <v>769</v>
      </c>
      <c r="L435" s="307">
        <f t="shared" si="57"/>
        <v>200000</v>
      </c>
      <c r="M435" s="308"/>
      <c r="N435" s="308">
        <v>200000</v>
      </c>
      <c r="O435" s="311"/>
      <c r="P435" s="311"/>
      <c r="Q435" s="311"/>
      <c r="R435" s="91"/>
      <c r="S435" s="68">
        <f t="shared" si="58"/>
        <v>0</v>
      </c>
      <c r="T435" s="68"/>
      <c r="U435" s="68">
        <v>200000</v>
      </c>
      <c r="V435" s="10">
        <v>3</v>
      </c>
      <c r="W435" s="2" t="s">
        <v>273</v>
      </c>
      <c r="X435" s="2"/>
      <c r="Y435" s="2">
        <v>500000</v>
      </c>
      <c r="Z435" s="2"/>
      <c r="AA435" s="2"/>
      <c r="AB435" s="2"/>
      <c r="AC435" s="2"/>
      <c r="AD435" s="2"/>
      <c r="AE435" s="2"/>
      <c r="AF435" s="2"/>
      <c r="AG435" s="2"/>
      <c r="AH435" s="2"/>
      <c r="AI435" s="14"/>
      <c r="AJ435" s="140">
        <v>20</v>
      </c>
      <c r="AK435" s="135" t="s">
        <v>402</v>
      </c>
      <c r="AL435" s="136">
        <v>1000000</v>
      </c>
      <c r="AM435" s="139"/>
      <c r="AN435" s="51"/>
    </row>
    <row r="436" spans="1:40" s="27" customFormat="1" ht="49.5">
      <c r="A436" s="34" t="s">
        <v>878</v>
      </c>
      <c r="B436" s="34"/>
      <c r="C436" s="72"/>
      <c r="D436" s="72" t="s">
        <v>1203</v>
      </c>
      <c r="E436" s="120" t="s">
        <v>905</v>
      </c>
      <c r="F436" s="120"/>
      <c r="G436" s="132" t="s">
        <v>197</v>
      </c>
      <c r="H436" s="132" t="s">
        <v>198</v>
      </c>
      <c r="I436" s="132" t="s">
        <v>108</v>
      </c>
      <c r="J436" s="133" t="s">
        <v>199</v>
      </c>
      <c r="K436" s="134" t="s">
        <v>1101</v>
      </c>
      <c r="L436" s="307">
        <f t="shared" si="57"/>
        <v>500000</v>
      </c>
      <c r="M436" s="308"/>
      <c r="N436" s="308">
        <v>500000</v>
      </c>
      <c r="O436" s="311"/>
      <c r="P436" s="311"/>
      <c r="Q436" s="311"/>
      <c r="R436" s="91"/>
      <c r="S436" s="68">
        <f t="shared" si="58"/>
        <v>0</v>
      </c>
      <c r="T436" s="68"/>
      <c r="U436" s="68">
        <v>500000</v>
      </c>
      <c r="V436" s="10">
        <v>3</v>
      </c>
      <c r="W436" s="2" t="s">
        <v>273</v>
      </c>
      <c r="X436" s="2"/>
      <c r="Y436" s="2">
        <v>500000</v>
      </c>
      <c r="Z436" s="2"/>
      <c r="AA436" s="2"/>
      <c r="AB436" s="2"/>
      <c r="AC436" s="2"/>
      <c r="AD436" s="2"/>
      <c r="AE436" s="2"/>
      <c r="AF436" s="2"/>
      <c r="AG436" s="2"/>
      <c r="AH436" s="2"/>
      <c r="AI436" s="14"/>
      <c r="AJ436" s="140">
        <v>2.5</v>
      </c>
      <c r="AK436" s="135" t="s">
        <v>331</v>
      </c>
      <c r="AL436" s="136">
        <v>20173870</v>
      </c>
      <c r="AM436" s="139"/>
      <c r="AN436" s="51"/>
    </row>
    <row r="437" spans="1:40" s="27" customFormat="1" ht="49.5">
      <c r="A437" s="34" t="s">
        <v>878</v>
      </c>
      <c r="B437" s="34"/>
      <c r="C437" s="72"/>
      <c r="D437" s="72" t="s">
        <v>1199</v>
      </c>
      <c r="E437" s="120" t="s">
        <v>905</v>
      </c>
      <c r="F437" s="120"/>
      <c r="G437" s="132" t="s">
        <v>197</v>
      </c>
      <c r="H437" s="132" t="s">
        <v>198</v>
      </c>
      <c r="I437" s="132" t="s">
        <v>108</v>
      </c>
      <c r="J437" s="133" t="s">
        <v>199</v>
      </c>
      <c r="K437" s="134" t="s">
        <v>1065</v>
      </c>
      <c r="L437" s="307">
        <f t="shared" si="57"/>
        <v>3500000</v>
      </c>
      <c r="M437" s="308"/>
      <c r="N437" s="308">
        <v>3500000</v>
      </c>
      <c r="O437" s="311"/>
      <c r="P437" s="311"/>
      <c r="Q437" s="311"/>
      <c r="R437" s="91"/>
      <c r="S437" s="68">
        <f t="shared" si="58"/>
        <v>0</v>
      </c>
      <c r="T437" s="68"/>
      <c r="U437" s="68">
        <v>3500000</v>
      </c>
      <c r="V437" s="10">
        <v>3</v>
      </c>
      <c r="W437" s="2" t="s">
        <v>273</v>
      </c>
      <c r="X437" s="2"/>
      <c r="Y437" s="2">
        <v>11511000</v>
      </c>
      <c r="Z437" s="2"/>
      <c r="AA437" s="2"/>
      <c r="AB437" s="2"/>
      <c r="AC437" s="2"/>
      <c r="AD437" s="2"/>
      <c r="AE437" s="2"/>
      <c r="AF437" s="2"/>
      <c r="AG437" s="2"/>
      <c r="AH437" s="2"/>
      <c r="AI437" s="14"/>
      <c r="AJ437" s="140">
        <v>100</v>
      </c>
      <c r="AK437" s="135">
        <v>2021</v>
      </c>
      <c r="AL437" s="136">
        <v>3800000</v>
      </c>
      <c r="AM437" s="139"/>
      <c r="AN437" s="51"/>
    </row>
    <row r="438" spans="1:40" s="27" customFormat="1" ht="66">
      <c r="A438" s="34" t="s">
        <v>878</v>
      </c>
      <c r="B438" s="34"/>
      <c r="C438" s="72"/>
      <c r="D438" s="72" t="s">
        <v>1219</v>
      </c>
      <c r="E438" s="120" t="s">
        <v>903</v>
      </c>
      <c r="F438" s="120"/>
      <c r="G438" s="132" t="s">
        <v>197</v>
      </c>
      <c r="H438" s="132" t="s">
        <v>198</v>
      </c>
      <c r="I438" s="132" t="s">
        <v>108</v>
      </c>
      <c r="J438" s="133" t="s">
        <v>199</v>
      </c>
      <c r="K438" s="134" t="s">
        <v>994</v>
      </c>
      <c r="L438" s="307">
        <f t="shared" si="57"/>
        <v>1500000</v>
      </c>
      <c r="M438" s="308"/>
      <c r="N438" s="308">
        <v>1500000</v>
      </c>
      <c r="O438" s="311"/>
      <c r="P438" s="311"/>
      <c r="Q438" s="311"/>
      <c r="R438" s="91"/>
      <c r="S438" s="68">
        <f t="shared" si="58"/>
        <v>0</v>
      </c>
      <c r="T438" s="68"/>
      <c r="U438" s="68">
        <v>1500000</v>
      </c>
      <c r="V438" s="10">
        <v>3</v>
      </c>
      <c r="W438" s="2" t="s">
        <v>273</v>
      </c>
      <c r="X438" s="2"/>
      <c r="Y438" s="2">
        <v>3300000</v>
      </c>
      <c r="Z438" s="2"/>
      <c r="AA438" s="2"/>
      <c r="AB438" s="2"/>
      <c r="AC438" s="2"/>
      <c r="AD438" s="2"/>
      <c r="AE438" s="2"/>
      <c r="AF438" s="2"/>
      <c r="AG438" s="2"/>
      <c r="AH438" s="2"/>
      <c r="AI438" s="14"/>
      <c r="AJ438" s="140">
        <v>100</v>
      </c>
      <c r="AK438" s="135">
        <v>2021</v>
      </c>
      <c r="AL438" s="136">
        <v>1500000</v>
      </c>
      <c r="AM438" s="139"/>
      <c r="AN438" s="51"/>
    </row>
    <row r="439" spans="1:40" s="27" customFormat="1" ht="49.5">
      <c r="A439" s="34" t="s">
        <v>878</v>
      </c>
      <c r="B439" s="34"/>
      <c r="C439" s="72"/>
      <c r="D439" s="72" t="s">
        <v>1205</v>
      </c>
      <c r="E439" s="120" t="s">
        <v>902</v>
      </c>
      <c r="F439" s="120"/>
      <c r="G439" s="132" t="s">
        <v>197</v>
      </c>
      <c r="H439" s="132" t="s">
        <v>198</v>
      </c>
      <c r="I439" s="132" t="s">
        <v>108</v>
      </c>
      <c r="J439" s="133" t="s">
        <v>199</v>
      </c>
      <c r="K439" s="134" t="s">
        <v>1100</v>
      </c>
      <c r="L439" s="307">
        <f t="shared" si="57"/>
        <v>400000</v>
      </c>
      <c r="M439" s="308"/>
      <c r="N439" s="308">
        <v>400000</v>
      </c>
      <c r="O439" s="311"/>
      <c r="P439" s="311"/>
      <c r="Q439" s="311"/>
      <c r="R439" s="91"/>
      <c r="S439" s="68">
        <f t="shared" si="58"/>
        <v>0</v>
      </c>
      <c r="T439" s="68"/>
      <c r="U439" s="68">
        <v>400000</v>
      </c>
      <c r="V439" s="10">
        <v>3</v>
      </c>
      <c r="W439" s="2" t="s">
        <v>273</v>
      </c>
      <c r="X439" s="2"/>
      <c r="Y439" s="2">
        <v>1700000</v>
      </c>
      <c r="Z439" s="2"/>
      <c r="AA439" s="2"/>
      <c r="AB439" s="2"/>
      <c r="AC439" s="2"/>
      <c r="AD439" s="2"/>
      <c r="AE439" s="2"/>
      <c r="AF439" s="2"/>
      <c r="AG439" s="2"/>
      <c r="AH439" s="2"/>
      <c r="AI439" s="14"/>
      <c r="AJ439" s="140">
        <v>100</v>
      </c>
      <c r="AK439" s="135">
        <v>2021</v>
      </c>
      <c r="AL439" s="136">
        <v>400000</v>
      </c>
      <c r="AM439" s="139"/>
      <c r="AN439" s="51"/>
    </row>
    <row r="440" spans="1:40" s="27" customFormat="1" ht="49.5">
      <c r="A440" s="34" t="s">
        <v>878</v>
      </c>
      <c r="B440" s="34"/>
      <c r="C440" s="72"/>
      <c r="D440" s="72" t="s">
        <v>1206</v>
      </c>
      <c r="E440" s="120" t="s">
        <v>901</v>
      </c>
      <c r="F440" s="120"/>
      <c r="G440" s="132" t="s">
        <v>197</v>
      </c>
      <c r="H440" s="132" t="s">
        <v>198</v>
      </c>
      <c r="I440" s="132" t="s">
        <v>108</v>
      </c>
      <c r="J440" s="133" t="s">
        <v>199</v>
      </c>
      <c r="K440" s="134" t="s">
        <v>1099</v>
      </c>
      <c r="L440" s="307">
        <f t="shared" si="57"/>
        <v>299976</v>
      </c>
      <c r="M440" s="308"/>
      <c r="N440" s="308">
        <v>299976</v>
      </c>
      <c r="O440" s="311"/>
      <c r="P440" s="311"/>
      <c r="Q440" s="311"/>
      <c r="R440" s="91"/>
      <c r="S440" s="68">
        <f t="shared" si="58"/>
        <v>0</v>
      </c>
      <c r="T440" s="68"/>
      <c r="U440" s="68">
        <v>299976</v>
      </c>
      <c r="V440" s="10">
        <v>3</v>
      </c>
      <c r="W440" s="2" t="s">
        <v>273</v>
      </c>
      <c r="X440" s="2"/>
      <c r="Y440" s="2">
        <v>3000000</v>
      </c>
      <c r="Z440" s="2"/>
      <c r="AA440" s="2"/>
      <c r="AB440" s="2"/>
      <c r="AC440" s="2"/>
      <c r="AD440" s="2"/>
      <c r="AE440" s="2"/>
      <c r="AF440" s="2"/>
      <c r="AG440" s="2"/>
      <c r="AH440" s="2"/>
      <c r="AI440" s="14"/>
      <c r="AJ440" s="140">
        <v>100</v>
      </c>
      <c r="AK440" s="135">
        <v>2021</v>
      </c>
      <c r="AL440" s="136">
        <v>299976</v>
      </c>
      <c r="AM440" s="139"/>
      <c r="AN440" s="51"/>
    </row>
    <row r="441" spans="1:40" s="66" customFormat="1" ht="49.5">
      <c r="A441" s="72" t="s">
        <v>878</v>
      </c>
      <c r="B441" s="72"/>
      <c r="C441" s="72"/>
      <c r="D441" s="72" t="s">
        <v>1207</v>
      </c>
      <c r="E441" s="120" t="s">
        <v>906</v>
      </c>
      <c r="F441" s="120"/>
      <c r="G441" s="132" t="s">
        <v>197</v>
      </c>
      <c r="H441" s="132" t="s">
        <v>198</v>
      </c>
      <c r="I441" s="132" t="s">
        <v>108</v>
      </c>
      <c r="J441" s="133" t="s">
        <v>199</v>
      </c>
      <c r="K441" s="134" t="s">
        <v>1291</v>
      </c>
      <c r="L441" s="307">
        <f t="shared" si="57"/>
        <v>2500000</v>
      </c>
      <c r="M441" s="308"/>
      <c r="N441" s="308">
        <v>2500000</v>
      </c>
      <c r="O441" s="312"/>
      <c r="P441" s="312"/>
      <c r="Q441" s="312"/>
      <c r="R441" s="167"/>
      <c r="S441" s="68">
        <f t="shared" si="58"/>
        <v>2500000</v>
      </c>
      <c r="T441" s="68"/>
      <c r="U441" s="68"/>
      <c r="V441" s="10"/>
      <c r="W441" s="68"/>
      <c r="X441" s="68"/>
      <c r="Y441" s="68"/>
      <c r="Z441" s="68"/>
      <c r="AA441" s="68"/>
      <c r="AB441" s="68"/>
      <c r="AC441" s="68"/>
      <c r="AD441" s="68"/>
      <c r="AE441" s="68"/>
      <c r="AF441" s="68"/>
      <c r="AG441" s="68"/>
      <c r="AH441" s="68"/>
      <c r="AI441" s="71"/>
      <c r="AJ441" s="140">
        <v>100</v>
      </c>
      <c r="AK441" s="135">
        <v>2021</v>
      </c>
      <c r="AL441" s="136">
        <v>2500000</v>
      </c>
      <c r="AM441" s="139"/>
    </row>
    <row r="442" spans="1:40" s="27" customFormat="1" ht="82.5">
      <c r="A442" s="34" t="s">
        <v>878</v>
      </c>
      <c r="B442" s="34"/>
      <c r="C442" s="72"/>
      <c r="D442" s="72" t="s">
        <v>1207</v>
      </c>
      <c r="E442" s="120" t="s">
        <v>906</v>
      </c>
      <c r="F442" s="120"/>
      <c r="G442" s="132" t="s">
        <v>197</v>
      </c>
      <c r="H442" s="132" t="s">
        <v>198</v>
      </c>
      <c r="I442" s="132" t="s">
        <v>108</v>
      </c>
      <c r="J442" s="133" t="s">
        <v>199</v>
      </c>
      <c r="K442" s="134" t="s">
        <v>705</v>
      </c>
      <c r="L442" s="307">
        <f t="shared" si="57"/>
        <v>1500000</v>
      </c>
      <c r="M442" s="308"/>
      <c r="N442" s="308">
        <v>1500000</v>
      </c>
      <c r="O442" s="311"/>
      <c r="P442" s="311"/>
      <c r="Q442" s="311"/>
      <c r="R442" s="91"/>
      <c r="S442" s="68">
        <f t="shared" si="58"/>
        <v>0</v>
      </c>
      <c r="T442" s="68"/>
      <c r="U442" s="68">
        <v>1500000</v>
      </c>
      <c r="V442" s="10">
        <v>3</v>
      </c>
      <c r="W442" s="2" t="s">
        <v>273</v>
      </c>
      <c r="X442" s="2"/>
      <c r="Y442" s="2">
        <v>3300000</v>
      </c>
      <c r="Z442" s="2"/>
      <c r="AA442" s="2"/>
      <c r="AB442" s="2"/>
      <c r="AC442" s="2"/>
      <c r="AD442" s="2"/>
      <c r="AE442" s="2"/>
      <c r="AF442" s="2"/>
      <c r="AG442" s="2"/>
      <c r="AH442" s="2"/>
      <c r="AI442" s="14"/>
      <c r="AJ442" s="140">
        <v>100</v>
      </c>
      <c r="AK442" s="135">
        <v>2021</v>
      </c>
      <c r="AL442" s="136">
        <v>1500776</v>
      </c>
      <c r="AM442" s="139"/>
      <c r="AN442" s="51"/>
    </row>
    <row r="443" spans="1:40" s="27" customFormat="1" ht="33">
      <c r="A443" s="34" t="s">
        <v>878</v>
      </c>
      <c r="B443" s="34"/>
      <c r="C443" s="72"/>
      <c r="D443" s="72" t="s">
        <v>1208</v>
      </c>
      <c r="E443" s="120" t="s">
        <v>904</v>
      </c>
      <c r="F443" s="120"/>
      <c r="G443" s="132" t="s">
        <v>197</v>
      </c>
      <c r="H443" s="132" t="s">
        <v>198</v>
      </c>
      <c r="I443" s="132" t="s">
        <v>108</v>
      </c>
      <c r="J443" s="133" t="s">
        <v>199</v>
      </c>
      <c r="K443" s="134" t="s">
        <v>1113</v>
      </c>
      <c r="L443" s="307">
        <f t="shared" si="57"/>
        <v>2500000</v>
      </c>
      <c r="M443" s="308"/>
      <c r="N443" s="308">
        <v>2500000</v>
      </c>
      <c r="O443" s="311"/>
      <c r="P443" s="311"/>
      <c r="Q443" s="311"/>
      <c r="R443" s="91"/>
      <c r="S443" s="68">
        <f t="shared" si="58"/>
        <v>0</v>
      </c>
      <c r="T443" s="68"/>
      <c r="U443" s="68">
        <v>2500000</v>
      </c>
      <c r="V443" s="10">
        <v>3</v>
      </c>
      <c r="W443" s="2" t="s">
        <v>254</v>
      </c>
      <c r="X443" s="2"/>
      <c r="Y443" s="2">
        <v>2000000</v>
      </c>
      <c r="Z443" s="2"/>
      <c r="AA443" s="2"/>
      <c r="AB443" s="2"/>
      <c r="AC443" s="2"/>
      <c r="AD443" s="2"/>
      <c r="AE443" s="2"/>
      <c r="AF443" s="2"/>
      <c r="AG443" s="2"/>
      <c r="AH443" s="2"/>
      <c r="AI443" s="14"/>
      <c r="AJ443" s="140">
        <v>100</v>
      </c>
      <c r="AK443" s="135">
        <v>2021</v>
      </c>
      <c r="AL443" s="136">
        <v>2500000</v>
      </c>
      <c r="AM443" s="139"/>
      <c r="AN443" s="51"/>
    </row>
    <row r="444" spans="1:40" s="27" customFormat="1" ht="49.5">
      <c r="A444" s="34" t="s">
        <v>878</v>
      </c>
      <c r="B444" s="34"/>
      <c r="C444" s="72"/>
      <c r="D444" s="72" t="s">
        <v>1208</v>
      </c>
      <c r="E444" s="120" t="s">
        <v>904</v>
      </c>
      <c r="F444" s="120"/>
      <c r="G444" s="132" t="s">
        <v>197</v>
      </c>
      <c r="H444" s="132" t="s">
        <v>198</v>
      </c>
      <c r="I444" s="132" t="s">
        <v>108</v>
      </c>
      <c r="J444" s="133" t="s">
        <v>199</v>
      </c>
      <c r="K444" s="134" t="s">
        <v>1122</v>
      </c>
      <c r="L444" s="307">
        <f t="shared" si="57"/>
        <v>6000000</v>
      </c>
      <c r="M444" s="308"/>
      <c r="N444" s="308">
        <v>6000000</v>
      </c>
      <c r="O444" s="311"/>
      <c r="P444" s="311"/>
      <c r="Q444" s="311"/>
      <c r="R444" s="91"/>
      <c r="S444" s="68">
        <f t="shared" si="58"/>
        <v>0</v>
      </c>
      <c r="T444" s="68"/>
      <c r="U444" s="68">
        <v>6000000</v>
      </c>
      <c r="V444" s="10">
        <v>3</v>
      </c>
      <c r="W444" s="2" t="s">
        <v>254</v>
      </c>
      <c r="X444" s="2"/>
      <c r="Y444" s="2">
        <v>3800000</v>
      </c>
      <c r="Z444" s="2"/>
      <c r="AA444" s="2"/>
      <c r="AB444" s="2"/>
      <c r="AC444" s="2"/>
      <c r="AD444" s="2"/>
      <c r="AE444" s="2"/>
      <c r="AF444" s="2"/>
      <c r="AG444" s="2"/>
      <c r="AH444" s="2"/>
      <c r="AI444" s="14"/>
      <c r="AJ444" s="140">
        <v>100</v>
      </c>
      <c r="AK444" s="135">
        <v>2021</v>
      </c>
      <c r="AL444" s="136">
        <v>6000000</v>
      </c>
      <c r="AM444" s="139"/>
      <c r="AN444" s="51"/>
    </row>
    <row r="445" spans="1:40" s="27" customFormat="1" ht="49.5">
      <c r="A445" s="34" t="s">
        <v>878</v>
      </c>
      <c r="B445" s="34"/>
      <c r="C445" s="72"/>
      <c r="D445" s="72" t="s">
        <v>1208</v>
      </c>
      <c r="E445" s="120" t="s">
        <v>904</v>
      </c>
      <c r="F445" s="120"/>
      <c r="G445" s="132" t="s">
        <v>197</v>
      </c>
      <c r="H445" s="132" t="s">
        <v>198</v>
      </c>
      <c r="I445" s="132" t="s">
        <v>108</v>
      </c>
      <c r="J445" s="133" t="s">
        <v>199</v>
      </c>
      <c r="K445" s="134" t="s">
        <v>1114</v>
      </c>
      <c r="L445" s="307">
        <f t="shared" ref="L445:L463" si="59">SUM(M445:Q445)</f>
        <v>2000000</v>
      </c>
      <c r="M445" s="308"/>
      <c r="N445" s="308">
        <v>2000000</v>
      </c>
      <c r="O445" s="311"/>
      <c r="P445" s="311"/>
      <c r="Q445" s="311"/>
      <c r="R445" s="91"/>
      <c r="S445" s="68">
        <f t="shared" si="58"/>
        <v>0</v>
      </c>
      <c r="T445" s="68"/>
      <c r="U445" s="68">
        <v>2000000</v>
      </c>
      <c r="V445" s="10">
        <v>3</v>
      </c>
      <c r="W445" s="2" t="s">
        <v>254</v>
      </c>
      <c r="X445" s="2"/>
      <c r="Y445" s="2">
        <v>972265</v>
      </c>
      <c r="Z445" s="2"/>
      <c r="AA445" s="2"/>
      <c r="AB445" s="2"/>
      <c r="AC445" s="2"/>
      <c r="AD445" s="2"/>
      <c r="AE445" s="2"/>
      <c r="AF445" s="2"/>
      <c r="AG445" s="2"/>
      <c r="AH445" s="2"/>
      <c r="AI445" s="14"/>
      <c r="AJ445" s="140">
        <v>100</v>
      </c>
      <c r="AK445" s="135" t="s">
        <v>1066</v>
      </c>
      <c r="AL445" s="136">
        <v>2000000</v>
      </c>
      <c r="AM445" s="139"/>
      <c r="AN445" s="51"/>
    </row>
    <row r="446" spans="1:40" s="27" customFormat="1" ht="49.5">
      <c r="A446" s="34" t="s">
        <v>878</v>
      </c>
      <c r="B446" s="34"/>
      <c r="C446" s="72"/>
      <c r="D446" s="72" t="s">
        <v>1208</v>
      </c>
      <c r="E446" s="120" t="s">
        <v>904</v>
      </c>
      <c r="F446" s="120"/>
      <c r="G446" s="132" t="s">
        <v>197</v>
      </c>
      <c r="H446" s="132" t="s">
        <v>198</v>
      </c>
      <c r="I446" s="132" t="s">
        <v>108</v>
      </c>
      <c r="J446" s="133" t="s">
        <v>199</v>
      </c>
      <c r="K446" s="134" t="s">
        <v>1071</v>
      </c>
      <c r="L446" s="307">
        <f t="shared" si="59"/>
        <v>2300000</v>
      </c>
      <c r="M446" s="308"/>
      <c r="N446" s="308">
        <v>2300000</v>
      </c>
      <c r="O446" s="311"/>
      <c r="P446" s="311"/>
      <c r="Q446" s="311"/>
      <c r="R446" s="91"/>
      <c r="S446" s="68">
        <f t="shared" si="58"/>
        <v>0</v>
      </c>
      <c r="T446" s="68"/>
      <c r="U446" s="68">
        <v>2300000</v>
      </c>
      <c r="V446" s="10">
        <v>3</v>
      </c>
      <c r="W446" s="2" t="s">
        <v>254</v>
      </c>
      <c r="X446" s="2"/>
      <c r="Y446" s="2">
        <v>257154</v>
      </c>
      <c r="Z446" s="2"/>
      <c r="AA446" s="2"/>
      <c r="AB446" s="2"/>
      <c r="AC446" s="2"/>
      <c r="AD446" s="2"/>
      <c r="AE446" s="2"/>
      <c r="AF446" s="2"/>
      <c r="AG446" s="2"/>
      <c r="AH446" s="2"/>
      <c r="AI446" s="14"/>
      <c r="AJ446" s="140">
        <v>67</v>
      </c>
      <c r="AK446" s="135" t="s">
        <v>331</v>
      </c>
      <c r="AL446" s="136">
        <v>6000000</v>
      </c>
      <c r="AM446" s="139"/>
      <c r="AN446" s="51"/>
    </row>
    <row r="447" spans="1:40" s="27" customFormat="1" ht="33">
      <c r="A447" s="34" t="s">
        <v>878</v>
      </c>
      <c r="B447" s="34"/>
      <c r="C447" s="72"/>
      <c r="D447" s="72" t="s">
        <v>1208</v>
      </c>
      <c r="E447" s="120" t="s">
        <v>904</v>
      </c>
      <c r="F447" s="120"/>
      <c r="G447" s="132" t="s">
        <v>197</v>
      </c>
      <c r="H447" s="132" t="s">
        <v>198</v>
      </c>
      <c r="I447" s="132" t="s">
        <v>108</v>
      </c>
      <c r="J447" s="133" t="s">
        <v>199</v>
      </c>
      <c r="K447" s="134" t="s">
        <v>1072</v>
      </c>
      <c r="L447" s="307">
        <f t="shared" si="59"/>
        <v>1200000</v>
      </c>
      <c r="M447" s="308"/>
      <c r="N447" s="308">
        <f>500000+700000</f>
        <v>1200000</v>
      </c>
      <c r="O447" s="311"/>
      <c r="P447" s="311"/>
      <c r="Q447" s="311"/>
      <c r="R447" s="91"/>
      <c r="S447" s="68">
        <f t="shared" si="58"/>
        <v>700000</v>
      </c>
      <c r="T447" s="68"/>
      <c r="U447" s="68">
        <v>500000</v>
      </c>
      <c r="V447" s="10">
        <v>3</v>
      </c>
      <c r="W447" s="2" t="s">
        <v>254</v>
      </c>
      <c r="X447" s="2"/>
      <c r="Y447" s="2">
        <v>500000</v>
      </c>
      <c r="Z447" s="2"/>
      <c r="AA447" s="2"/>
      <c r="AB447" s="2"/>
      <c r="AC447" s="2"/>
      <c r="AD447" s="2"/>
      <c r="AE447" s="2"/>
      <c r="AF447" s="2"/>
      <c r="AG447" s="2"/>
      <c r="AH447" s="2"/>
      <c r="AI447" s="14"/>
      <c r="AJ447" s="140">
        <v>42</v>
      </c>
      <c r="AK447" s="135">
        <v>2021</v>
      </c>
      <c r="AL447" s="136">
        <v>1200000</v>
      </c>
      <c r="AM447" s="139"/>
      <c r="AN447" s="51"/>
    </row>
    <row r="448" spans="1:40" s="27" customFormat="1" ht="49.5">
      <c r="A448" s="34" t="s">
        <v>878</v>
      </c>
      <c r="B448" s="34"/>
      <c r="C448" s="72"/>
      <c r="D448" s="72" t="s">
        <v>1208</v>
      </c>
      <c r="E448" s="120" t="s">
        <v>904</v>
      </c>
      <c r="F448" s="120"/>
      <c r="G448" s="132" t="s">
        <v>197</v>
      </c>
      <c r="H448" s="132" t="s">
        <v>198</v>
      </c>
      <c r="I448" s="132" t="s">
        <v>108</v>
      </c>
      <c r="J448" s="133" t="s">
        <v>199</v>
      </c>
      <c r="K448" s="134" t="s">
        <v>995</v>
      </c>
      <c r="L448" s="307">
        <f t="shared" si="59"/>
        <v>800000</v>
      </c>
      <c r="M448" s="308"/>
      <c r="N448" s="308">
        <v>800000</v>
      </c>
      <c r="O448" s="311"/>
      <c r="P448" s="311"/>
      <c r="Q448" s="311"/>
      <c r="R448" s="91"/>
      <c r="S448" s="68">
        <f t="shared" si="58"/>
        <v>0</v>
      </c>
      <c r="T448" s="68"/>
      <c r="U448" s="68">
        <v>800000</v>
      </c>
      <c r="V448" s="10">
        <v>3</v>
      </c>
      <c r="W448" s="2" t="s">
        <v>254</v>
      </c>
      <c r="X448" s="2"/>
      <c r="Y448" s="2">
        <v>500000</v>
      </c>
      <c r="Z448" s="2"/>
      <c r="AA448" s="2"/>
      <c r="AB448" s="2"/>
      <c r="AC448" s="2"/>
      <c r="AD448" s="2"/>
      <c r="AE448" s="2"/>
      <c r="AF448" s="2"/>
      <c r="AG448" s="2"/>
      <c r="AH448" s="2"/>
      <c r="AI448" s="14"/>
      <c r="AJ448" s="140">
        <v>70</v>
      </c>
      <c r="AK448" s="135" t="s">
        <v>331</v>
      </c>
      <c r="AL448" s="136">
        <v>1150000</v>
      </c>
      <c r="AM448" s="139"/>
      <c r="AN448" s="51"/>
    </row>
    <row r="449" spans="1:40" s="27" customFormat="1" ht="49.5">
      <c r="A449" s="34" t="s">
        <v>878</v>
      </c>
      <c r="B449" s="34"/>
      <c r="C449" s="72"/>
      <c r="D449" s="72" t="s">
        <v>1208</v>
      </c>
      <c r="E449" s="120" t="s">
        <v>904</v>
      </c>
      <c r="F449" s="120"/>
      <c r="G449" s="132" t="s">
        <v>197</v>
      </c>
      <c r="H449" s="132" t="s">
        <v>198</v>
      </c>
      <c r="I449" s="132" t="s">
        <v>108</v>
      </c>
      <c r="J449" s="133" t="s">
        <v>199</v>
      </c>
      <c r="K449" s="134" t="s">
        <v>1146</v>
      </c>
      <c r="L449" s="307">
        <f t="shared" si="59"/>
        <v>500000</v>
      </c>
      <c r="M449" s="308"/>
      <c r="N449" s="308">
        <v>500000</v>
      </c>
      <c r="O449" s="311"/>
      <c r="P449" s="311"/>
      <c r="Q449" s="311"/>
      <c r="R449" s="91"/>
      <c r="S449" s="68">
        <f t="shared" si="58"/>
        <v>0</v>
      </c>
      <c r="T449" s="68"/>
      <c r="U449" s="68">
        <v>500000</v>
      </c>
      <c r="V449" s="10">
        <v>3</v>
      </c>
      <c r="W449" s="2" t="s">
        <v>273</v>
      </c>
      <c r="X449" s="2"/>
      <c r="Y449" s="2">
        <v>5536000</v>
      </c>
      <c r="Z449" s="2"/>
      <c r="AA449" s="2"/>
      <c r="AB449" s="2"/>
      <c r="AC449" s="2"/>
      <c r="AD449" s="2"/>
      <c r="AE449" s="2"/>
      <c r="AF449" s="2"/>
      <c r="AG449" s="2"/>
      <c r="AH449" s="2"/>
      <c r="AI449" s="14"/>
      <c r="AJ449" s="140">
        <v>43</v>
      </c>
      <c r="AK449" s="135">
        <v>2021</v>
      </c>
      <c r="AL449" s="136">
        <v>650000</v>
      </c>
      <c r="AM449" s="139"/>
      <c r="AN449" s="51"/>
    </row>
    <row r="450" spans="1:40" s="27" customFormat="1" ht="49.5">
      <c r="A450" s="34" t="s">
        <v>878</v>
      </c>
      <c r="B450" s="34"/>
      <c r="C450" s="72"/>
      <c r="D450" s="72" t="s">
        <v>1208</v>
      </c>
      <c r="E450" s="120" t="s">
        <v>904</v>
      </c>
      <c r="F450" s="120"/>
      <c r="G450" s="132" t="s">
        <v>197</v>
      </c>
      <c r="H450" s="132" t="s">
        <v>198</v>
      </c>
      <c r="I450" s="132" t="s">
        <v>108</v>
      </c>
      <c r="J450" s="133" t="s">
        <v>199</v>
      </c>
      <c r="K450" s="134" t="s">
        <v>1073</v>
      </c>
      <c r="L450" s="307">
        <f t="shared" si="59"/>
        <v>2100000</v>
      </c>
      <c r="M450" s="308"/>
      <c r="N450" s="308">
        <f>1100000+1000000</f>
        <v>2100000</v>
      </c>
      <c r="O450" s="311"/>
      <c r="P450" s="311"/>
      <c r="Q450" s="311"/>
      <c r="R450" s="91"/>
      <c r="S450" s="68">
        <f t="shared" si="58"/>
        <v>1000000</v>
      </c>
      <c r="T450" s="68"/>
      <c r="U450" s="68">
        <v>1100000</v>
      </c>
      <c r="V450" s="10">
        <v>3</v>
      </c>
      <c r="W450" s="2" t="s">
        <v>273</v>
      </c>
      <c r="X450" s="2"/>
      <c r="Y450" s="2">
        <v>1799000</v>
      </c>
      <c r="Z450" s="2"/>
      <c r="AA450" s="2"/>
      <c r="AB450" s="2"/>
      <c r="AC450" s="2"/>
      <c r="AD450" s="2"/>
      <c r="AE450" s="2"/>
      <c r="AF450" s="2"/>
      <c r="AG450" s="2"/>
      <c r="AH450" s="2"/>
      <c r="AI450" s="14"/>
      <c r="AJ450" s="140">
        <v>47</v>
      </c>
      <c r="AK450" s="135">
        <v>2021</v>
      </c>
      <c r="AL450" s="136">
        <v>2100000</v>
      </c>
      <c r="AM450" s="139"/>
      <c r="AN450" s="51"/>
    </row>
    <row r="451" spans="1:40" s="27" customFormat="1" ht="82.5">
      <c r="A451" s="34" t="s">
        <v>878</v>
      </c>
      <c r="B451" s="34"/>
      <c r="C451" s="72"/>
      <c r="D451" s="72" t="s">
        <v>1209</v>
      </c>
      <c r="E451" s="120" t="s">
        <v>904</v>
      </c>
      <c r="F451" s="120"/>
      <c r="G451" s="132" t="s">
        <v>197</v>
      </c>
      <c r="H451" s="132" t="s">
        <v>198</v>
      </c>
      <c r="I451" s="132" t="s">
        <v>108</v>
      </c>
      <c r="J451" s="133" t="s">
        <v>199</v>
      </c>
      <c r="K451" s="134" t="s">
        <v>1335</v>
      </c>
      <c r="L451" s="307">
        <f t="shared" si="59"/>
        <v>1559000</v>
      </c>
      <c r="M451" s="308"/>
      <c r="N451" s="308">
        <v>1559000</v>
      </c>
      <c r="O451" s="311"/>
      <c r="P451" s="311"/>
      <c r="Q451" s="311"/>
      <c r="R451" s="91"/>
      <c r="S451" s="68">
        <f t="shared" si="58"/>
        <v>0</v>
      </c>
      <c r="T451" s="68"/>
      <c r="U451" s="68">
        <v>1559000</v>
      </c>
      <c r="V451" s="10">
        <v>3</v>
      </c>
      <c r="W451" s="2" t="s">
        <v>273</v>
      </c>
      <c r="X451" s="2"/>
      <c r="Y451" s="2">
        <v>554000</v>
      </c>
      <c r="Z451" s="2"/>
      <c r="AA451" s="2"/>
      <c r="AB451" s="2"/>
      <c r="AC451" s="2"/>
      <c r="AD451" s="2"/>
      <c r="AE451" s="2"/>
      <c r="AF451" s="2"/>
      <c r="AG451" s="2"/>
      <c r="AH451" s="2"/>
      <c r="AI451" s="14"/>
      <c r="AJ451" s="140">
        <v>40</v>
      </c>
      <c r="AK451" s="135" t="s">
        <v>331</v>
      </c>
      <c r="AL451" s="136">
        <v>12890000</v>
      </c>
      <c r="AM451" s="139"/>
      <c r="AN451" s="51"/>
    </row>
    <row r="452" spans="1:40" s="27" customFormat="1" ht="66">
      <c r="A452" s="34" t="s">
        <v>878</v>
      </c>
      <c r="B452" s="34"/>
      <c r="C452" s="72"/>
      <c r="D452" s="72" t="s">
        <v>1210</v>
      </c>
      <c r="E452" s="120" t="s">
        <v>906</v>
      </c>
      <c r="F452" s="120"/>
      <c r="G452" s="132" t="s">
        <v>197</v>
      </c>
      <c r="H452" s="132" t="s">
        <v>198</v>
      </c>
      <c r="I452" s="132" t="s">
        <v>108</v>
      </c>
      <c r="J452" s="133" t="s">
        <v>199</v>
      </c>
      <c r="K452" s="134" t="s">
        <v>996</v>
      </c>
      <c r="L452" s="307">
        <f t="shared" si="59"/>
        <v>1600000</v>
      </c>
      <c r="M452" s="308"/>
      <c r="N452" s="308">
        <v>1600000</v>
      </c>
      <c r="O452" s="311"/>
      <c r="P452" s="311"/>
      <c r="Q452" s="311"/>
      <c r="R452" s="91"/>
      <c r="S452" s="68">
        <f t="shared" si="58"/>
        <v>0</v>
      </c>
      <c r="T452" s="68"/>
      <c r="U452" s="68">
        <v>1600000</v>
      </c>
      <c r="V452" s="10">
        <v>3</v>
      </c>
      <c r="W452" s="2" t="s">
        <v>273</v>
      </c>
      <c r="X452" s="2"/>
      <c r="Y452" s="2">
        <v>2500000</v>
      </c>
      <c r="Z452" s="2"/>
      <c r="AA452" s="2"/>
      <c r="AB452" s="2"/>
      <c r="AC452" s="2"/>
      <c r="AD452" s="2"/>
      <c r="AE452" s="2"/>
      <c r="AF452" s="2"/>
      <c r="AG452" s="2"/>
      <c r="AH452" s="2"/>
      <c r="AI452" s="14"/>
      <c r="AJ452" s="140">
        <v>100</v>
      </c>
      <c r="AK452" s="135">
        <v>2021</v>
      </c>
      <c r="AL452" s="136">
        <v>1600165.2</v>
      </c>
      <c r="AM452" s="139"/>
      <c r="AN452" s="51"/>
    </row>
    <row r="453" spans="1:40" s="27" customFormat="1" ht="82.5">
      <c r="A453" s="34" t="s">
        <v>878</v>
      </c>
      <c r="B453" s="34"/>
      <c r="C453" s="72"/>
      <c r="D453" s="72" t="s">
        <v>1210</v>
      </c>
      <c r="E453" s="120" t="s">
        <v>906</v>
      </c>
      <c r="F453" s="120"/>
      <c r="G453" s="132" t="s">
        <v>197</v>
      </c>
      <c r="H453" s="132" t="s">
        <v>198</v>
      </c>
      <c r="I453" s="132" t="s">
        <v>108</v>
      </c>
      <c r="J453" s="133" t="s">
        <v>199</v>
      </c>
      <c r="K453" s="134" t="s">
        <v>997</v>
      </c>
      <c r="L453" s="307">
        <f t="shared" si="59"/>
        <v>1500000</v>
      </c>
      <c r="M453" s="308"/>
      <c r="N453" s="308">
        <v>1500000</v>
      </c>
      <c r="O453" s="311"/>
      <c r="P453" s="311"/>
      <c r="Q453" s="311"/>
      <c r="R453" s="91"/>
      <c r="S453" s="68">
        <f t="shared" si="58"/>
        <v>0</v>
      </c>
      <c r="T453" s="68"/>
      <c r="U453" s="68">
        <v>1500000</v>
      </c>
      <c r="V453" s="10">
        <v>3</v>
      </c>
      <c r="W453" s="2" t="s">
        <v>273</v>
      </c>
      <c r="X453" s="2"/>
      <c r="Y453" s="2"/>
      <c r="Z453" s="2"/>
      <c r="AA453" s="2"/>
      <c r="AB453" s="2"/>
      <c r="AC453" s="2"/>
      <c r="AD453" s="2"/>
      <c r="AE453" s="2"/>
      <c r="AF453" s="2"/>
      <c r="AG453" s="2"/>
      <c r="AH453" s="2"/>
      <c r="AI453" s="14"/>
      <c r="AJ453" s="140">
        <v>100</v>
      </c>
      <c r="AK453" s="144">
        <v>2021</v>
      </c>
      <c r="AL453" s="136">
        <v>1500000</v>
      </c>
      <c r="AM453" s="139"/>
      <c r="AN453" s="51"/>
    </row>
    <row r="454" spans="1:40" s="27" customFormat="1" ht="49.5">
      <c r="A454" s="34" t="s">
        <v>878</v>
      </c>
      <c r="B454" s="34"/>
      <c r="C454" s="72"/>
      <c r="D454" s="72" t="s">
        <v>1211</v>
      </c>
      <c r="E454" s="120" t="s">
        <v>902</v>
      </c>
      <c r="F454" s="120"/>
      <c r="G454" s="132" t="s">
        <v>197</v>
      </c>
      <c r="H454" s="132">
        <v>7322</v>
      </c>
      <c r="I454" s="132" t="s">
        <v>108</v>
      </c>
      <c r="J454" s="133" t="s">
        <v>199</v>
      </c>
      <c r="K454" s="134" t="s">
        <v>847</v>
      </c>
      <c r="L454" s="307">
        <f t="shared" si="59"/>
        <v>1700000</v>
      </c>
      <c r="M454" s="308"/>
      <c r="N454" s="308">
        <v>1700000</v>
      </c>
      <c r="O454" s="311"/>
      <c r="P454" s="311"/>
      <c r="Q454" s="311"/>
      <c r="R454" s="91"/>
      <c r="S454" s="68">
        <f t="shared" si="58"/>
        <v>0</v>
      </c>
      <c r="T454" s="68"/>
      <c r="U454" s="68">
        <v>1700000</v>
      </c>
      <c r="V454" s="10">
        <v>3</v>
      </c>
      <c r="W454" s="2" t="s">
        <v>273</v>
      </c>
      <c r="X454" s="2"/>
      <c r="Y454" s="2"/>
      <c r="Z454" s="2"/>
      <c r="AA454" s="2"/>
      <c r="AB454" s="2"/>
      <c r="AC454" s="2"/>
      <c r="AD454" s="2"/>
      <c r="AE454" s="2"/>
      <c r="AF454" s="2"/>
      <c r="AG454" s="2"/>
      <c r="AH454" s="2"/>
      <c r="AI454" s="14"/>
      <c r="AJ454" s="140">
        <v>100</v>
      </c>
      <c r="AK454" s="135">
        <v>2021</v>
      </c>
      <c r="AL454" s="136">
        <v>1700000</v>
      </c>
      <c r="AM454" s="139"/>
      <c r="AN454" s="51"/>
    </row>
    <row r="455" spans="1:40" s="27" customFormat="1" ht="33">
      <c r="A455" s="34" t="s">
        <v>878</v>
      </c>
      <c r="B455" s="34"/>
      <c r="C455" s="72"/>
      <c r="D455" s="72" t="s">
        <v>1212</v>
      </c>
      <c r="E455" s="120" t="s">
        <v>903</v>
      </c>
      <c r="F455" s="120"/>
      <c r="G455" s="132" t="s">
        <v>197</v>
      </c>
      <c r="H455" s="132">
        <v>7322</v>
      </c>
      <c r="I455" s="132" t="s">
        <v>108</v>
      </c>
      <c r="J455" s="133" t="s">
        <v>199</v>
      </c>
      <c r="K455" s="134" t="s">
        <v>1074</v>
      </c>
      <c r="L455" s="307">
        <f t="shared" si="59"/>
        <v>92000</v>
      </c>
      <c r="M455" s="308"/>
      <c r="N455" s="308">
        <v>92000</v>
      </c>
      <c r="O455" s="311"/>
      <c r="P455" s="311"/>
      <c r="Q455" s="311"/>
      <c r="R455" s="91"/>
      <c r="S455" s="68">
        <f t="shared" si="58"/>
        <v>0</v>
      </c>
      <c r="T455" s="68"/>
      <c r="U455" s="68">
        <v>92000</v>
      </c>
      <c r="V455" s="10">
        <v>3</v>
      </c>
      <c r="W455" s="2" t="s">
        <v>273</v>
      </c>
      <c r="X455" s="2"/>
      <c r="Y455" s="2"/>
      <c r="Z455" s="2"/>
      <c r="AA455" s="2"/>
      <c r="AB455" s="2"/>
      <c r="AC455" s="2"/>
      <c r="AD455" s="2"/>
      <c r="AE455" s="2"/>
      <c r="AF455" s="2"/>
      <c r="AG455" s="2"/>
      <c r="AH455" s="2"/>
      <c r="AI455" s="14"/>
      <c r="AJ455" s="140">
        <v>100</v>
      </c>
      <c r="AK455" s="135">
        <v>2021</v>
      </c>
      <c r="AL455" s="136">
        <v>92000</v>
      </c>
      <c r="AM455" s="139"/>
      <c r="AN455" s="51"/>
    </row>
    <row r="456" spans="1:40" s="27" customFormat="1" ht="49.5">
      <c r="A456" s="34" t="s">
        <v>878</v>
      </c>
      <c r="B456" s="34"/>
      <c r="C456" s="72"/>
      <c r="D456" s="72" t="s">
        <v>1212</v>
      </c>
      <c r="E456" s="120" t="s">
        <v>903</v>
      </c>
      <c r="F456" s="120"/>
      <c r="G456" s="132" t="s">
        <v>197</v>
      </c>
      <c r="H456" s="132">
        <v>7322</v>
      </c>
      <c r="I456" s="132" t="s">
        <v>108</v>
      </c>
      <c r="J456" s="133" t="s">
        <v>199</v>
      </c>
      <c r="K456" s="134" t="s">
        <v>1075</v>
      </c>
      <c r="L456" s="307">
        <f t="shared" si="59"/>
        <v>108000</v>
      </c>
      <c r="M456" s="308"/>
      <c r="N456" s="308">
        <v>108000</v>
      </c>
      <c r="O456" s="311"/>
      <c r="P456" s="311"/>
      <c r="Q456" s="311"/>
      <c r="R456" s="91"/>
      <c r="S456" s="68">
        <f t="shared" si="58"/>
        <v>0</v>
      </c>
      <c r="T456" s="68"/>
      <c r="U456" s="68">
        <v>108000</v>
      </c>
      <c r="V456" s="10">
        <v>3</v>
      </c>
      <c r="W456" s="2" t="s">
        <v>273</v>
      </c>
      <c r="X456" s="2"/>
      <c r="Y456" s="2"/>
      <c r="Z456" s="2"/>
      <c r="AA456" s="2"/>
      <c r="AB456" s="2"/>
      <c r="AC456" s="2"/>
      <c r="AD456" s="2"/>
      <c r="AE456" s="2"/>
      <c r="AF456" s="2"/>
      <c r="AG456" s="2"/>
      <c r="AH456" s="2"/>
      <c r="AI456" s="14"/>
      <c r="AJ456" s="140">
        <v>100</v>
      </c>
      <c r="AK456" s="135">
        <v>2021</v>
      </c>
      <c r="AL456" s="136">
        <v>108000</v>
      </c>
      <c r="AM456" s="139"/>
      <c r="AN456" s="51"/>
    </row>
    <row r="457" spans="1:40" s="27" customFormat="1" ht="66">
      <c r="A457" s="34" t="s">
        <v>878</v>
      </c>
      <c r="B457" s="34"/>
      <c r="C457" s="72"/>
      <c r="D457" s="72" t="s">
        <v>1213</v>
      </c>
      <c r="E457" s="120" t="s">
        <v>904</v>
      </c>
      <c r="F457" s="120"/>
      <c r="G457" s="132" t="s">
        <v>197</v>
      </c>
      <c r="H457" s="132" t="s">
        <v>198</v>
      </c>
      <c r="I457" s="132" t="s">
        <v>108</v>
      </c>
      <c r="J457" s="133" t="s">
        <v>199</v>
      </c>
      <c r="K457" s="134" t="s">
        <v>998</v>
      </c>
      <c r="L457" s="307">
        <f t="shared" si="59"/>
        <v>1500000</v>
      </c>
      <c r="M457" s="308"/>
      <c r="N457" s="308">
        <v>1500000</v>
      </c>
      <c r="O457" s="311"/>
      <c r="P457" s="311"/>
      <c r="Q457" s="311"/>
      <c r="R457" s="91"/>
      <c r="S457" s="68">
        <f t="shared" si="58"/>
        <v>0</v>
      </c>
      <c r="T457" s="68"/>
      <c r="U457" s="68">
        <v>1500000</v>
      </c>
      <c r="V457" s="10">
        <v>3</v>
      </c>
      <c r="W457" s="2" t="s">
        <v>254</v>
      </c>
      <c r="X457" s="2"/>
      <c r="Y457" s="2"/>
      <c r="Z457" s="2"/>
      <c r="AA457" s="2"/>
      <c r="AB457" s="2"/>
      <c r="AC457" s="2"/>
      <c r="AD457" s="2"/>
      <c r="AE457" s="2"/>
      <c r="AF457" s="2"/>
      <c r="AG457" s="2"/>
      <c r="AH457" s="2"/>
      <c r="AI457" s="14"/>
      <c r="AJ457" s="140">
        <v>100</v>
      </c>
      <c r="AK457" s="135">
        <v>2021</v>
      </c>
      <c r="AL457" s="136">
        <v>1500000</v>
      </c>
      <c r="AM457" s="139"/>
      <c r="AN457" s="51"/>
    </row>
    <row r="458" spans="1:40" s="27" customFormat="1" ht="31.5" customHeight="1">
      <c r="A458" s="34" t="s">
        <v>878</v>
      </c>
      <c r="B458" s="34"/>
      <c r="C458" s="72" t="s">
        <v>1181</v>
      </c>
      <c r="D458" s="72" t="s">
        <v>1203</v>
      </c>
      <c r="E458" s="120" t="s">
        <v>905</v>
      </c>
      <c r="F458" s="120"/>
      <c r="G458" s="132" t="s">
        <v>50</v>
      </c>
      <c r="H458" s="132" t="s">
        <v>30</v>
      </c>
      <c r="I458" s="132" t="s">
        <v>31</v>
      </c>
      <c r="J458" s="143" t="s">
        <v>32</v>
      </c>
      <c r="K458" s="134" t="s">
        <v>1076</v>
      </c>
      <c r="L458" s="307">
        <f>SUM(M458:Q458)</f>
        <v>5677456</v>
      </c>
      <c r="M458" s="308"/>
      <c r="N458" s="308">
        <v>3394456</v>
      </c>
      <c r="O458" s="311"/>
      <c r="P458" s="311"/>
      <c r="Q458" s="302">
        <v>2283000</v>
      </c>
      <c r="R458" s="68"/>
      <c r="S458" s="68">
        <f t="shared" si="58"/>
        <v>-12125544</v>
      </c>
      <c r="T458" s="68">
        <v>3394456</v>
      </c>
      <c r="U458" s="68">
        <v>15520000</v>
      </c>
      <c r="V458" s="10">
        <v>3</v>
      </c>
      <c r="W458" s="2" t="s">
        <v>254</v>
      </c>
      <c r="X458" s="2"/>
      <c r="Y458" s="2"/>
      <c r="Z458" s="2"/>
      <c r="AA458" s="2"/>
      <c r="AB458" s="2"/>
      <c r="AC458" s="2"/>
      <c r="AD458" s="2"/>
      <c r="AE458" s="2"/>
      <c r="AF458" s="2"/>
      <c r="AG458" s="2"/>
      <c r="AH458" s="2">
        <v>15520000</v>
      </c>
      <c r="AI458" s="14"/>
      <c r="AJ458" s="140">
        <v>100</v>
      </c>
      <c r="AK458" s="135">
        <v>2021</v>
      </c>
      <c r="AL458" s="136">
        <v>15520000</v>
      </c>
      <c r="AM458" s="139"/>
      <c r="AN458" s="51"/>
    </row>
    <row r="459" spans="1:40" s="262" customFormat="1" ht="31.5" customHeight="1">
      <c r="A459" s="72" t="s">
        <v>878</v>
      </c>
      <c r="B459" s="252"/>
      <c r="C459" s="252"/>
      <c r="D459" s="252"/>
      <c r="E459" s="253"/>
      <c r="F459" s="253" t="s">
        <v>1461</v>
      </c>
      <c r="G459" s="254"/>
      <c r="H459" s="254"/>
      <c r="I459" s="254"/>
      <c r="J459" s="255"/>
      <c r="K459" s="251" t="s">
        <v>1458</v>
      </c>
      <c r="L459" s="313">
        <f>SUM(M459:Q459)</f>
        <v>5677456</v>
      </c>
      <c r="M459" s="314"/>
      <c r="N459" s="314">
        <v>3394456</v>
      </c>
      <c r="O459" s="315"/>
      <c r="P459" s="315"/>
      <c r="Q459" s="316">
        <v>2283000</v>
      </c>
      <c r="R459" s="257"/>
      <c r="S459" s="257"/>
      <c r="T459" s="257"/>
      <c r="U459" s="257"/>
      <c r="V459" s="258"/>
      <c r="W459" s="257"/>
      <c r="X459" s="257"/>
      <c r="Y459" s="257"/>
      <c r="Z459" s="257"/>
      <c r="AA459" s="257"/>
      <c r="AB459" s="257"/>
      <c r="AC459" s="257"/>
      <c r="AD459" s="257"/>
      <c r="AE459" s="257"/>
      <c r="AF459" s="257"/>
      <c r="AG459" s="257"/>
      <c r="AH459" s="257"/>
      <c r="AI459" s="151"/>
      <c r="AJ459" s="259"/>
      <c r="AK459" s="260"/>
      <c r="AL459" s="256"/>
      <c r="AM459" s="261"/>
    </row>
    <row r="460" spans="1:40" s="27" customFormat="1" ht="33">
      <c r="A460" s="72" t="s">
        <v>878</v>
      </c>
      <c r="B460" s="34"/>
      <c r="C460" s="72" t="s">
        <v>1181</v>
      </c>
      <c r="D460" s="72" t="s">
        <v>1199</v>
      </c>
      <c r="E460" s="120" t="s">
        <v>905</v>
      </c>
      <c r="F460" s="120"/>
      <c r="G460" s="132" t="s">
        <v>50</v>
      </c>
      <c r="H460" s="132" t="s">
        <v>30</v>
      </c>
      <c r="I460" s="132" t="s">
        <v>31</v>
      </c>
      <c r="J460" s="143" t="s">
        <v>32</v>
      </c>
      <c r="K460" s="134" t="s">
        <v>51</v>
      </c>
      <c r="L460" s="307">
        <f t="shared" si="59"/>
        <v>2977536</v>
      </c>
      <c r="M460" s="308"/>
      <c r="N460" s="308">
        <v>1666336</v>
      </c>
      <c r="O460" s="311"/>
      <c r="P460" s="311"/>
      <c r="Q460" s="302">
        <v>1311200</v>
      </c>
      <c r="R460" s="68"/>
      <c r="S460" s="68">
        <f>N460-U460</f>
        <v>-4844664</v>
      </c>
      <c r="T460" s="68">
        <v>1666336</v>
      </c>
      <c r="U460" s="68">
        <v>6511000</v>
      </c>
      <c r="V460" s="10">
        <v>3</v>
      </c>
      <c r="W460" s="2" t="s">
        <v>254</v>
      </c>
      <c r="X460" s="2"/>
      <c r="Y460" s="2"/>
      <c r="Z460" s="2"/>
      <c r="AA460" s="2"/>
      <c r="AB460" s="2"/>
      <c r="AC460" s="2"/>
      <c r="AD460" s="2"/>
      <c r="AE460" s="2"/>
      <c r="AF460" s="2"/>
      <c r="AG460" s="2"/>
      <c r="AH460" s="2">
        <v>6511000</v>
      </c>
      <c r="AI460" s="14"/>
      <c r="AJ460" s="140">
        <v>100</v>
      </c>
      <c r="AK460" s="135">
        <v>2021</v>
      </c>
      <c r="AL460" s="136">
        <v>6603700</v>
      </c>
      <c r="AM460" s="139"/>
      <c r="AN460" s="51"/>
    </row>
    <row r="461" spans="1:40" s="262" customFormat="1">
      <c r="A461" s="72" t="s">
        <v>878</v>
      </c>
      <c r="B461" s="252"/>
      <c r="C461" s="252"/>
      <c r="D461" s="252"/>
      <c r="E461" s="253"/>
      <c r="F461" s="253" t="s">
        <v>1461</v>
      </c>
      <c r="G461" s="254"/>
      <c r="H461" s="254"/>
      <c r="I461" s="254"/>
      <c r="J461" s="255"/>
      <c r="K461" s="251" t="s">
        <v>1459</v>
      </c>
      <c r="L461" s="313">
        <f t="shared" si="59"/>
        <v>2977536</v>
      </c>
      <c r="M461" s="314"/>
      <c r="N461" s="314">
        <v>1666336</v>
      </c>
      <c r="O461" s="315"/>
      <c r="P461" s="315"/>
      <c r="Q461" s="316">
        <v>1311200</v>
      </c>
      <c r="R461" s="257"/>
      <c r="S461" s="257"/>
      <c r="T461" s="257"/>
      <c r="U461" s="257"/>
      <c r="V461" s="258"/>
      <c r="W461" s="257"/>
      <c r="X461" s="257"/>
      <c r="Y461" s="257"/>
      <c r="Z461" s="257"/>
      <c r="AA461" s="257"/>
      <c r="AB461" s="257"/>
      <c r="AC461" s="257"/>
      <c r="AD461" s="257"/>
      <c r="AE461" s="257"/>
      <c r="AF461" s="257"/>
      <c r="AG461" s="257"/>
      <c r="AH461" s="257"/>
      <c r="AI461" s="151"/>
      <c r="AJ461" s="259"/>
      <c r="AK461" s="260"/>
      <c r="AL461" s="256"/>
      <c r="AM461" s="261"/>
    </row>
    <row r="462" spans="1:40" s="27" customFormat="1" ht="31.5" customHeight="1">
      <c r="A462" s="72" t="s">
        <v>878</v>
      </c>
      <c r="B462" s="34"/>
      <c r="C462" s="72" t="s">
        <v>1181</v>
      </c>
      <c r="D462" s="72" t="s">
        <v>1202</v>
      </c>
      <c r="E462" s="120" t="s">
        <v>906</v>
      </c>
      <c r="F462" s="120"/>
      <c r="G462" s="132" t="s">
        <v>50</v>
      </c>
      <c r="H462" s="132" t="s">
        <v>30</v>
      </c>
      <c r="I462" s="132" t="s">
        <v>31</v>
      </c>
      <c r="J462" s="143" t="s">
        <v>32</v>
      </c>
      <c r="K462" s="134" t="s">
        <v>1077</v>
      </c>
      <c r="L462" s="307">
        <f t="shared" si="59"/>
        <v>3295840</v>
      </c>
      <c r="M462" s="308"/>
      <c r="N462" s="308">
        <f>32482000-25500000-5410160</f>
        <v>1571840</v>
      </c>
      <c r="O462" s="311"/>
      <c r="P462" s="311"/>
      <c r="Q462" s="302">
        <v>1724000</v>
      </c>
      <c r="R462" s="68"/>
      <c r="S462" s="68">
        <f>N462-U462</f>
        <v>-30910160</v>
      </c>
      <c r="T462" s="68">
        <v>1571840</v>
      </c>
      <c r="U462" s="68">
        <v>32482000</v>
      </c>
      <c r="V462" s="10">
        <v>3</v>
      </c>
      <c r="W462" s="2" t="s">
        <v>254</v>
      </c>
      <c r="X462" s="2"/>
      <c r="Y462" s="2"/>
      <c r="Z462" s="2"/>
      <c r="AA462" s="2"/>
      <c r="AB462" s="2"/>
      <c r="AC462" s="2"/>
      <c r="AD462" s="2"/>
      <c r="AE462" s="2"/>
      <c r="AF462" s="2"/>
      <c r="AG462" s="2"/>
      <c r="AH462" s="2">
        <v>6982000</v>
      </c>
      <c r="AI462" s="14"/>
      <c r="AJ462" s="140">
        <v>100</v>
      </c>
      <c r="AK462" s="135">
        <v>2021</v>
      </c>
      <c r="AL462" s="136">
        <v>6982000</v>
      </c>
      <c r="AM462" s="139"/>
      <c r="AN462" s="51"/>
    </row>
    <row r="463" spans="1:40" s="262" customFormat="1">
      <c r="A463" s="72" t="s">
        <v>878</v>
      </c>
      <c r="B463" s="252"/>
      <c r="C463" s="252"/>
      <c r="D463" s="252"/>
      <c r="E463" s="253"/>
      <c r="F463" s="253" t="s">
        <v>1461</v>
      </c>
      <c r="G463" s="254"/>
      <c r="H463" s="254"/>
      <c r="I463" s="254"/>
      <c r="J463" s="255"/>
      <c r="K463" s="251" t="s">
        <v>1460</v>
      </c>
      <c r="L463" s="313">
        <f t="shared" si="59"/>
        <v>3295840</v>
      </c>
      <c r="M463" s="314"/>
      <c r="N463" s="314">
        <f>32482000-25500000-5410160</f>
        <v>1571840</v>
      </c>
      <c r="O463" s="315"/>
      <c r="P463" s="315"/>
      <c r="Q463" s="316">
        <v>1724000</v>
      </c>
      <c r="R463" s="257"/>
      <c r="S463" s="257"/>
      <c r="T463" s="257"/>
      <c r="U463" s="257"/>
      <c r="V463" s="258"/>
      <c r="W463" s="257"/>
      <c r="X463" s="257"/>
      <c r="Y463" s="257"/>
      <c r="Z463" s="257"/>
      <c r="AA463" s="257"/>
      <c r="AB463" s="257"/>
      <c r="AC463" s="257"/>
      <c r="AD463" s="257"/>
      <c r="AE463" s="257"/>
      <c r="AF463" s="257"/>
      <c r="AG463" s="257"/>
      <c r="AH463" s="257"/>
      <c r="AI463" s="151"/>
      <c r="AJ463" s="259"/>
      <c r="AK463" s="260"/>
      <c r="AL463" s="256"/>
      <c r="AM463" s="261"/>
    </row>
    <row r="464" spans="1:40" s="198" customFormat="1">
      <c r="A464" s="193" t="s">
        <v>879</v>
      </c>
      <c r="B464" s="181" t="s">
        <v>193</v>
      </c>
      <c r="C464" s="181"/>
      <c r="D464" s="181"/>
      <c r="E464" s="182" t="s">
        <v>1225</v>
      </c>
      <c r="F464" s="182"/>
      <c r="G464" s="183" t="s">
        <v>52</v>
      </c>
      <c r="H464" s="207"/>
      <c r="I464" s="207"/>
      <c r="J464" s="184" t="s">
        <v>53</v>
      </c>
      <c r="K464" s="201"/>
      <c r="L464" s="287">
        <f t="shared" ref="L464" si="60">SUM(L466:L486)</f>
        <v>22000000</v>
      </c>
      <c r="M464" s="288">
        <f>SUM(M466:M486)</f>
        <v>0</v>
      </c>
      <c r="N464" s="289">
        <f>SUM(N466:N486)</f>
        <v>22000000</v>
      </c>
      <c r="O464" s="289">
        <f t="shared" ref="O464:P464" si="61">SUM(O466:O486)</f>
        <v>0</v>
      </c>
      <c r="P464" s="289">
        <f t="shared" si="61"/>
        <v>0</v>
      </c>
      <c r="Q464" s="289">
        <f t="shared" ref="Q464" si="62">SUM(Q466:Q486)</f>
        <v>0</v>
      </c>
      <c r="R464" s="187">
        <f t="shared" ref="R464:R465" si="63">L464-M464-N464-O464-P464-Q464</f>
        <v>0</v>
      </c>
      <c r="S464" s="187">
        <f>SUM(S466:S486)</f>
        <v>0</v>
      </c>
      <c r="T464" s="187"/>
      <c r="U464" s="187">
        <f>SUM(U466:U486)</f>
        <v>22000000</v>
      </c>
      <c r="V464" s="187"/>
      <c r="W464" s="187"/>
      <c r="X464" s="187">
        <f>SUM(X466:X486)</f>
        <v>0</v>
      </c>
      <c r="Y464" s="187">
        <f>SUM(Y466:Y486)</f>
        <v>314600</v>
      </c>
      <c r="Z464" s="187"/>
      <c r="AA464" s="187"/>
      <c r="AB464" s="187">
        <f>SUM(AB466:AB486)</f>
        <v>18362500</v>
      </c>
      <c r="AC464" s="187">
        <f>X464+Y464+AB464-N464</f>
        <v>-3322900</v>
      </c>
      <c r="AD464" s="187">
        <f>SUM(AD466:AD486)</f>
        <v>0</v>
      </c>
      <c r="AE464" s="187">
        <f>SUM(AE466:AE486)</f>
        <v>0</v>
      </c>
      <c r="AF464" s="187">
        <f>SUM(AF466:AF484)</f>
        <v>0</v>
      </c>
      <c r="AG464" s="187">
        <f>SUM(AG466:AG484)</f>
        <v>0</v>
      </c>
      <c r="AH464" s="187">
        <f>SUM(AH466:AH484)</f>
        <v>0</v>
      </c>
      <c r="AI464" s="195"/>
      <c r="AJ464" s="187"/>
      <c r="AK464" s="185"/>
      <c r="AL464" s="196"/>
      <c r="AM464" s="197"/>
    </row>
    <row r="465" spans="1:39" s="198" customFormat="1">
      <c r="A465" s="193" t="s">
        <v>879</v>
      </c>
      <c r="B465" s="193"/>
      <c r="C465" s="193"/>
      <c r="D465" s="193"/>
      <c r="E465" s="182" t="s">
        <v>1225</v>
      </c>
      <c r="F465" s="182"/>
      <c r="G465" s="183" t="s">
        <v>54</v>
      </c>
      <c r="H465" s="183"/>
      <c r="I465" s="183"/>
      <c r="J465" s="190" t="s">
        <v>53</v>
      </c>
      <c r="K465" s="201"/>
      <c r="L465" s="290"/>
      <c r="M465" s="291"/>
      <c r="N465" s="297"/>
      <c r="O465" s="297"/>
      <c r="P465" s="297"/>
      <c r="Q465" s="297"/>
      <c r="R465" s="187">
        <f t="shared" si="63"/>
        <v>0</v>
      </c>
      <c r="S465" s="199"/>
      <c r="T465" s="199"/>
      <c r="U465" s="199"/>
      <c r="V465" s="200"/>
      <c r="W465" s="199"/>
      <c r="X465" s="199"/>
      <c r="Y465" s="199"/>
      <c r="Z465" s="199"/>
      <c r="AA465" s="199"/>
      <c r="AB465" s="199"/>
      <c r="AC465" s="199"/>
      <c r="AD465" s="199"/>
      <c r="AE465" s="199"/>
      <c r="AF465" s="199"/>
      <c r="AG465" s="199"/>
      <c r="AH465" s="199"/>
      <c r="AI465" s="195"/>
      <c r="AJ465" s="199"/>
      <c r="AK465" s="185"/>
      <c r="AL465" s="196"/>
      <c r="AM465" s="197"/>
    </row>
    <row r="466" spans="1:39" s="27" customFormat="1" ht="33">
      <c r="A466" s="34" t="s">
        <v>879</v>
      </c>
      <c r="B466" s="72"/>
      <c r="C466" s="72"/>
      <c r="D466" s="72"/>
      <c r="E466" s="120" t="s">
        <v>1469</v>
      </c>
      <c r="F466" s="120"/>
      <c r="G466" s="87" t="s">
        <v>317</v>
      </c>
      <c r="H466" s="87" t="s">
        <v>15</v>
      </c>
      <c r="I466" s="87" t="s">
        <v>16</v>
      </c>
      <c r="J466" s="89" t="s">
        <v>318</v>
      </c>
      <c r="K466" s="82" t="s">
        <v>129</v>
      </c>
      <c r="L466" s="298">
        <f t="shared" ref="L466:L486" si="64">SUM(M466:Q466)</f>
        <v>1400000</v>
      </c>
      <c r="M466" s="299"/>
      <c r="N466" s="301">
        <v>1400000</v>
      </c>
      <c r="O466" s="296"/>
      <c r="P466" s="296"/>
      <c r="Q466" s="296"/>
      <c r="R466" s="84"/>
      <c r="S466" s="67">
        <f t="shared" ref="S466:S486" si="65">N466-U466</f>
        <v>0</v>
      </c>
      <c r="T466" s="67"/>
      <c r="U466" s="67">
        <v>1400000</v>
      </c>
      <c r="V466" s="26">
        <v>3</v>
      </c>
      <c r="W466" s="67" t="s">
        <v>254</v>
      </c>
      <c r="X466" s="67"/>
      <c r="Y466" s="67"/>
      <c r="Z466" s="67"/>
      <c r="AA466" s="67"/>
      <c r="AB466" s="67">
        <v>1400000</v>
      </c>
      <c r="AC466" s="67"/>
      <c r="AD466" s="67"/>
      <c r="AE466" s="67"/>
      <c r="AF466" s="71"/>
      <c r="AG466" s="71"/>
      <c r="AH466" s="71"/>
      <c r="AI466" s="14"/>
      <c r="AJ466" s="84"/>
      <c r="AK466" s="78">
        <v>2021</v>
      </c>
      <c r="AL466" s="85"/>
      <c r="AM466" s="84"/>
    </row>
    <row r="467" spans="1:39" s="27" customFormat="1" ht="49.5">
      <c r="A467" s="34" t="s">
        <v>879</v>
      </c>
      <c r="B467" s="34"/>
      <c r="C467" s="72"/>
      <c r="D467" s="72"/>
      <c r="E467" s="120" t="s">
        <v>1469</v>
      </c>
      <c r="F467" s="120"/>
      <c r="G467" s="87" t="s">
        <v>312</v>
      </c>
      <c r="H467" s="87" t="s">
        <v>313</v>
      </c>
      <c r="I467" s="87" t="s">
        <v>314</v>
      </c>
      <c r="J467" s="89" t="s">
        <v>315</v>
      </c>
      <c r="K467" s="82" t="s">
        <v>316</v>
      </c>
      <c r="L467" s="293">
        <f t="shared" si="64"/>
        <v>1500000</v>
      </c>
      <c r="M467" s="294"/>
      <c r="N467" s="302">
        <f>1000000+500000</f>
        <v>1500000</v>
      </c>
      <c r="O467" s="309"/>
      <c r="P467" s="309"/>
      <c r="Q467" s="296"/>
      <c r="R467" s="84"/>
      <c r="S467" s="67">
        <f t="shared" si="65"/>
        <v>0</v>
      </c>
      <c r="T467" s="43"/>
      <c r="U467" s="43">
        <f>1000000+500000</f>
        <v>1500000</v>
      </c>
      <c r="V467" s="26">
        <v>3</v>
      </c>
      <c r="W467" s="19" t="s">
        <v>254</v>
      </c>
      <c r="X467" s="19"/>
      <c r="Y467" s="19"/>
      <c r="Z467" s="52"/>
      <c r="AA467" s="52"/>
      <c r="AB467" s="19">
        <v>1000000</v>
      </c>
      <c r="AC467" s="19"/>
      <c r="AD467" s="19"/>
      <c r="AE467" s="19"/>
      <c r="AF467" s="71"/>
      <c r="AG467" s="71"/>
      <c r="AH467" s="71"/>
      <c r="AI467" s="14"/>
      <c r="AJ467" s="84">
        <v>100</v>
      </c>
      <c r="AK467" s="78">
        <v>2021</v>
      </c>
      <c r="AL467" s="85">
        <v>1500000</v>
      </c>
      <c r="AM467" s="84"/>
    </row>
    <row r="468" spans="1:39" s="27" customFormat="1" ht="49.5">
      <c r="A468" s="34" t="s">
        <v>879</v>
      </c>
      <c r="B468" s="34"/>
      <c r="C468" s="72"/>
      <c r="D468" s="72"/>
      <c r="E468" s="120" t="s">
        <v>1469</v>
      </c>
      <c r="F468" s="120"/>
      <c r="G468" s="87" t="s">
        <v>319</v>
      </c>
      <c r="H468" s="87" t="s">
        <v>320</v>
      </c>
      <c r="I468" s="87" t="s">
        <v>284</v>
      </c>
      <c r="J468" s="89" t="s">
        <v>848</v>
      </c>
      <c r="K468" s="82" t="s">
        <v>321</v>
      </c>
      <c r="L468" s="293">
        <f t="shared" si="64"/>
        <v>700000</v>
      </c>
      <c r="M468" s="294"/>
      <c r="N468" s="302">
        <v>700000</v>
      </c>
      <c r="O468" s="309"/>
      <c r="P468" s="309"/>
      <c r="Q468" s="296"/>
      <c r="R468" s="84"/>
      <c r="S468" s="67">
        <f t="shared" si="65"/>
        <v>0</v>
      </c>
      <c r="T468" s="67"/>
      <c r="U468" s="67">
        <v>700000</v>
      </c>
      <c r="V468" s="26">
        <v>3</v>
      </c>
      <c r="W468" s="19" t="s">
        <v>254</v>
      </c>
      <c r="X468" s="19"/>
      <c r="Y468" s="19"/>
      <c r="Z468" s="52"/>
      <c r="AA468" s="52"/>
      <c r="AB468" s="19">
        <v>700000</v>
      </c>
      <c r="AC468" s="19"/>
      <c r="AD468" s="19"/>
      <c r="AE468" s="19"/>
      <c r="AF468" s="14"/>
      <c r="AG468" s="14"/>
      <c r="AH468" s="14"/>
      <c r="AI468" s="14"/>
      <c r="AJ468" s="84"/>
      <c r="AK468" s="78">
        <v>2021</v>
      </c>
      <c r="AL468" s="85"/>
      <c r="AM468" s="84"/>
    </row>
    <row r="469" spans="1:39" s="27" customFormat="1" ht="49.5">
      <c r="A469" s="34" t="s">
        <v>879</v>
      </c>
      <c r="B469" s="34"/>
      <c r="C469" s="72"/>
      <c r="D469" s="72"/>
      <c r="E469" s="120" t="s">
        <v>1469</v>
      </c>
      <c r="F469" s="120"/>
      <c r="G469" s="87" t="s">
        <v>322</v>
      </c>
      <c r="H469" s="87" t="s">
        <v>297</v>
      </c>
      <c r="I469" s="87" t="s">
        <v>299</v>
      </c>
      <c r="J469" s="89" t="s">
        <v>323</v>
      </c>
      <c r="K469" s="82" t="s">
        <v>324</v>
      </c>
      <c r="L469" s="293">
        <f t="shared" si="64"/>
        <v>46000</v>
      </c>
      <c r="M469" s="294"/>
      <c r="N469" s="302">
        <v>46000</v>
      </c>
      <c r="O469" s="309"/>
      <c r="P469" s="309"/>
      <c r="Q469" s="296"/>
      <c r="R469" s="84"/>
      <c r="S469" s="67">
        <f t="shared" si="65"/>
        <v>0</v>
      </c>
      <c r="T469" s="67"/>
      <c r="U469" s="67">
        <v>46000</v>
      </c>
      <c r="V469" s="26">
        <v>3</v>
      </c>
      <c r="W469" s="19" t="s">
        <v>254</v>
      </c>
      <c r="X469" s="19"/>
      <c r="Y469" s="19"/>
      <c r="Z469" s="52"/>
      <c r="AA469" s="52"/>
      <c r="AB469" s="19">
        <v>46000</v>
      </c>
      <c r="AC469" s="19"/>
      <c r="AD469" s="19"/>
      <c r="AE469" s="19"/>
      <c r="AF469" s="14"/>
      <c r="AG469" s="14"/>
      <c r="AH469" s="14"/>
      <c r="AI469" s="14"/>
      <c r="AJ469" s="84"/>
      <c r="AK469" s="78">
        <v>2021</v>
      </c>
      <c r="AL469" s="85"/>
      <c r="AM469" s="84"/>
    </row>
    <row r="470" spans="1:39" s="27" customFormat="1" ht="66">
      <c r="A470" s="34" t="s">
        <v>879</v>
      </c>
      <c r="B470" s="34"/>
      <c r="C470" s="72"/>
      <c r="D470" s="72"/>
      <c r="E470" s="120" t="s">
        <v>1469</v>
      </c>
      <c r="F470" s="120"/>
      <c r="G470" s="87" t="s">
        <v>322</v>
      </c>
      <c r="H470" s="87" t="s">
        <v>297</v>
      </c>
      <c r="I470" s="87" t="s">
        <v>299</v>
      </c>
      <c r="J470" s="89" t="s">
        <v>323</v>
      </c>
      <c r="K470" s="82" t="s">
        <v>325</v>
      </c>
      <c r="L470" s="293">
        <f t="shared" si="64"/>
        <v>80000</v>
      </c>
      <c r="M470" s="294"/>
      <c r="N470" s="302">
        <v>80000</v>
      </c>
      <c r="O470" s="309"/>
      <c r="P470" s="309"/>
      <c r="Q470" s="296"/>
      <c r="R470" s="84"/>
      <c r="S470" s="67">
        <f t="shared" si="65"/>
        <v>0</v>
      </c>
      <c r="T470" s="67"/>
      <c r="U470" s="67">
        <v>80000</v>
      </c>
      <c r="V470" s="26">
        <v>3</v>
      </c>
      <c r="W470" s="19" t="s">
        <v>254</v>
      </c>
      <c r="X470" s="19"/>
      <c r="Y470" s="19"/>
      <c r="Z470" s="52"/>
      <c r="AA470" s="52"/>
      <c r="AB470" s="19">
        <v>80000</v>
      </c>
      <c r="AC470" s="19"/>
      <c r="AD470" s="19"/>
      <c r="AE470" s="19"/>
      <c r="AF470" s="14"/>
      <c r="AG470" s="14"/>
      <c r="AH470" s="14"/>
      <c r="AI470" s="14"/>
      <c r="AJ470" s="84"/>
      <c r="AK470" s="78">
        <v>2021</v>
      </c>
      <c r="AL470" s="85"/>
      <c r="AM470" s="84"/>
    </row>
    <row r="471" spans="1:39" s="27" customFormat="1" ht="33">
      <c r="A471" s="34" t="s">
        <v>879</v>
      </c>
      <c r="B471" s="34"/>
      <c r="C471" s="72"/>
      <c r="D471" s="72"/>
      <c r="E471" s="120" t="s">
        <v>1469</v>
      </c>
      <c r="F471" s="120"/>
      <c r="G471" s="87" t="s">
        <v>326</v>
      </c>
      <c r="H471" s="87" t="s">
        <v>327</v>
      </c>
      <c r="I471" s="87" t="s">
        <v>299</v>
      </c>
      <c r="J471" s="89" t="s">
        <v>328</v>
      </c>
      <c r="K471" s="82" t="s">
        <v>329</v>
      </c>
      <c r="L471" s="293">
        <f t="shared" si="64"/>
        <v>200000</v>
      </c>
      <c r="M471" s="294"/>
      <c r="N471" s="302">
        <v>200000</v>
      </c>
      <c r="O471" s="309"/>
      <c r="P471" s="309"/>
      <c r="Q471" s="296"/>
      <c r="R471" s="84"/>
      <c r="S471" s="67">
        <f t="shared" si="65"/>
        <v>0</v>
      </c>
      <c r="T471" s="67"/>
      <c r="U471" s="67">
        <v>200000</v>
      </c>
      <c r="V471" s="26">
        <v>3</v>
      </c>
      <c r="W471" s="19" t="s">
        <v>254</v>
      </c>
      <c r="X471" s="19"/>
      <c r="Y471" s="19"/>
      <c r="Z471" s="52"/>
      <c r="AA471" s="52"/>
      <c r="AB471" s="19">
        <v>200000</v>
      </c>
      <c r="AC471" s="19"/>
      <c r="AD471" s="19"/>
      <c r="AE471" s="19"/>
      <c r="AF471" s="14"/>
      <c r="AG471" s="14"/>
      <c r="AH471" s="14"/>
      <c r="AI471" s="14"/>
      <c r="AJ471" s="84"/>
      <c r="AK471" s="78">
        <v>2021</v>
      </c>
      <c r="AL471" s="85"/>
      <c r="AM471" s="84"/>
    </row>
    <row r="472" spans="1:39" s="27" customFormat="1" ht="49.5">
      <c r="A472" s="34" t="s">
        <v>879</v>
      </c>
      <c r="B472" s="34"/>
      <c r="C472" s="72"/>
      <c r="D472" s="72"/>
      <c r="E472" s="120" t="s">
        <v>1469</v>
      </c>
      <c r="F472" s="120"/>
      <c r="G472" s="87" t="s">
        <v>307</v>
      </c>
      <c r="H472" s="87" t="s">
        <v>308</v>
      </c>
      <c r="I472" s="87" t="s">
        <v>309</v>
      </c>
      <c r="J472" s="89" t="s">
        <v>310</v>
      </c>
      <c r="K472" s="82" t="s">
        <v>311</v>
      </c>
      <c r="L472" s="293">
        <f t="shared" si="64"/>
        <v>6988800</v>
      </c>
      <c r="M472" s="294"/>
      <c r="N472" s="302">
        <v>6988800</v>
      </c>
      <c r="O472" s="309"/>
      <c r="P472" s="309"/>
      <c r="Q472" s="296"/>
      <c r="R472" s="84"/>
      <c r="S472" s="67">
        <f t="shared" si="65"/>
        <v>0</v>
      </c>
      <c r="T472" s="43"/>
      <c r="U472" s="43">
        <v>6988800</v>
      </c>
      <c r="V472" s="26">
        <v>3</v>
      </c>
      <c r="W472" s="19" t="s">
        <v>254</v>
      </c>
      <c r="X472" s="19"/>
      <c r="Y472" s="19"/>
      <c r="Z472" s="52"/>
      <c r="AA472" s="52"/>
      <c r="AB472" s="19">
        <v>6665900</v>
      </c>
      <c r="AC472" s="19"/>
      <c r="AD472" s="19"/>
      <c r="AE472" s="19"/>
      <c r="AF472" s="14"/>
      <c r="AG472" s="14"/>
      <c r="AH472" s="14"/>
      <c r="AI472" s="14"/>
      <c r="AJ472" s="84"/>
      <c r="AK472" s="78">
        <v>2021</v>
      </c>
      <c r="AL472" s="85"/>
      <c r="AM472" s="84"/>
    </row>
    <row r="473" spans="1:39" s="27" customFormat="1" ht="49.5">
      <c r="A473" s="34" t="s">
        <v>879</v>
      </c>
      <c r="B473" s="34"/>
      <c r="C473" s="72"/>
      <c r="D473" s="72"/>
      <c r="E473" s="120" t="s">
        <v>905</v>
      </c>
      <c r="F473" s="120"/>
      <c r="G473" s="87" t="s">
        <v>200</v>
      </c>
      <c r="H473" s="87" t="s">
        <v>201</v>
      </c>
      <c r="I473" s="87" t="s">
        <v>108</v>
      </c>
      <c r="J473" s="89" t="s">
        <v>202</v>
      </c>
      <c r="K473" s="82" t="s">
        <v>1147</v>
      </c>
      <c r="L473" s="298">
        <f t="shared" si="64"/>
        <v>200000</v>
      </c>
      <c r="M473" s="299"/>
      <c r="N473" s="301">
        <v>200000</v>
      </c>
      <c r="O473" s="296"/>
      <c r="P473" s="296"/>
      <c r="Q473" s="296"/>
      <c r="R473" s="84"/>
      <c r="S473" s="67">
        <f t="shared" si="65"/>
        <v>0</v>
      </c>
      <c r="T473" s="67"/>
      <c r="U473" s="67">
        <v>200000</v>
      </c>
      <c r="V473" s="26">
        <v>2</v>
      </c>
      <c r="W473" s="19" t="s">
        <v>273</v>
      </c>
      <c r="X473" s="19"/>
      <c r="Y473" s="19">
        <v>200000</v>
      </c>
      <c r="Z473" s="52"/>
      <c r="AA473" s="52"/>
      <c r="AB473" s="19"/>
      <c r="AC473" s="19"/>
      <c r="AD473" s="19"/>
      <c r="AE473" s="19"/>
      <c r="AF473" s="14"/>
      <c r="AG473" s="14"/>
      <c r="AH473" s="14"/>
      <c r="AI473" s="14"/>
      <c r="AJ473" s="84">
        <v>100</v>
      </c>
      <c r="AK473" s="78" t="s">
        <v>271</v>
      </c>
      <c r="AL473" s="85">
        <v>1734610</v>
      </c>
      <c r="AM473" s="84">
        <v>90</v>
      </c>
    </row>
    <row r="474" spans="1:39" s="27" customFormat="1" ht="82.5">
      <c r="A474" s="34" t="s">
        <v>879</v>
      </c>
      <c r="B474" s="34"/>
      <c r="C474" s="72"/>
      <c r="D474" s="72"/>
      <c r="E474" s="120" t="s">
        <v>903</v>
      </c>
      <c r="F474" s="120"/>
      <c r="G474" s="87" t="s">
        <v>200</v>
      </c>
      <c r="H474" s="87" t="s">
        <v>201</v>
      </c>
      <c r="I474" s="87" t="s">
        <v>108</v>
      </c>
      <c r="J474" s="89" t="s">
        <v>202</v>
      </c>
      <c r="K474" s="82" t="s">
        <v>999</v>
      </c>
      <c r="L474" s="298">
        <f t="shared" si="64"/>
        <v>1800000</v>
      </c>
      <c r="M474" s="299"/>
      <c r="N474" s="301">
        <v>1800000</v>
      </c>
      <c r="O474" s="296"/>
      <c r="P474" s="296"/>
      <c r="Q474" s="296"/>
      <c r="R474" s="84"/>
      <c r="S474" s="67">
        <f t="shared" si="65"/>
        <v>0</v>
      </c>
      <c r="T474" s="67"/>
      <c r="U474" s="67">
        <v>1800000</v>
      </c>
      <c r="V474" s="26">
        <v>3</v>
      </c>
      <c r="W474" s="19" t="s">
        <v>273</v>
      </c>
      <c r="X474" s="19"/>
      <c r="Y474" s="19"/>
      <c r="Z474" s="52"/>
      <c r="AA474" s="52"/>
      <c r="AB474" s="19">
        <v>1800000</v>
      </c>
      <c r="AC474" s="19"/>
      <c r="AD474" s="19"/>
      <c r="AE474" s="19"/>
      <c r="AF474" s="14"/>
      <c r="AG474" s="14"/>
      <c r="AH474" s="14"/>
      <c r="AI474" s="14"/>
      <c r="AJ474" s="84">
        <v>50</v>
      </c>
      <c r="AK474" s="78" t="s">
        <v>331</v>
      </c>
      <c r="AL474" s="85">
        <v>3650000</v>
      </c>
      <c r="AM474" s="84"/>
    </row>
    <row r="475" spans="1:39" s="27" customFormat="1" ht="82.5">
      <c r="A475" s="34" t="s">
        <v>879</v>
      </c>
      <c r="B475" s="34"/>
      <c r="C475" s="72"/>
      <c r="D475" s="72"/>
      <c r="E475" s="120" t="s">
        <v>903</v>
      </c>
      <c r="F475" s="120"/>
      <c r="G475" s="87" t="s">
        <v>200</v>
      </c>
      <c r="H475" s="87" t="s">
        <v>201</v>
      </c>
      <c r="I475" s="87" t="s">
        <v>108</v>
      </c>
      <c r="J475" s="89" t="s">
        <v>202</v>
      </c>
      <c r="K475" s="82" t="s">
        <v>1000</v>
      </c>
      <c r="L475" s="298">
        <f t="shared" si="64"/>
        <v>1500000</v>
      </c>
      <c r="M475" s="299"/>
      <c r="N475" s="301">
        <v>1500000</v>
      </c>
      <c r="O475" s="296"/>
      <c r="P475" s="296"/>
      <c r="Q475" s="296"/>
      <c r="R475" s="84"/>
      <c r="S475" s="67">
        <f t="shared" si="65"/>
        <v>0</v>
      </c>
      <c r="T475" s="67"/>
      <c r="U475" s="67">
        <v>1500000</v>
      </c>
      <c r="V475" s="26">
        <v>3</v>
      </c>
      <c r="W475" s="19" t="s">
        <v>273</v>
      </c>
      <c r="X475" s="19"/>
      <c r="Y475" s="19"/>
      <c r="Z475" s="52"/>
      <c r="AA475" s="52"/>
      <c r="AB475" s="19">
        <v>1500000</v>
      </c>
      <c r="AC475" s="19"/>
      <c r="AD475" s="19"/>
      <c r="AE475" s="19"/>
      <c r="AF475" s="14"/>
      <c r="AG475" s="14"/>
      <c r="AH475" s="14"/>
      <c r="AI475" s="14"/>
      <c r="AJ475" s="84">
        <v>7</v>
      </c>
      <c r="AK475" s="78" t="s">
        <v>272</v>
      </c>
      <c r="AL475" s="85">
        <v>17500000</v>
      </c>
      <c r="AM475" s="84">
        <v>1</v>
      </c>
    </row>
    <row r="476" spans="1:39" s="27" customFormat="1" ht="33">
      <c r="A476" s="34" t="s">
        <v>879</v>
      </c>
      <c r="B476" s="34"/>
      <c r="C476" s="72"/>
      <c r="D476" s="72"/>
      <c r="E476" s="120" t="s">
        <v>902</v>
      </c>
      <c r="F476" s="120"/>
      <c r="G476" s="87" t="s">
        <v>200</v>
      </c>
      <c r="H476" s="87" t="s">
        <v>201</v>
      </c>
      <c r="I476" s="87" t="s">
        <v>108</v>
      </c>
      <c r="J476" s="89" t="s">
        <v>202</v>
      </c>
      <c r="K476" s="82" t="s">
        <v>330</v>
      </c>
      <c r="L476" s="298">
        <f t="shared" si="64"/>
        <v>500000</v>
      </c>
      <c r="M476" s="299"/>
      <c r="N476" s="301">
        <v>500000</v>
      </c>
      <c r="O476" s="296"/>
      <c r="P476" s="296"/>
      <c r="Q476" s="296"/>
      <c r="R476" s="84"/>
      <c r="S476" s="67">
        <f t="shared" si="65"/>
        <v>0</v>
      </c>
      <c r="T476" s="67"/>
      <c r="U476" s="67">
        <v>500000</v>
      </c>
      <c r="V476" s="26">
        <v>3</v>
      </c>
      <c r="W476" s="19" t="s">
        <v>273</v>
      </c>
      <c r="X476" s="19"/>
      <c r="Y476" s="19"/>
      <c r="Z476" s="52"/>
      <c r="AA476" s="52"/>
      <c r="AB476" s="19">
        <v>500000</v>
      </c>
      <c r="AC476" s="19"/>
      <c r="AD476" s="19"/>
      <c r="AE476" s="19"/>
      <c r="AF476" s="14"/>
      <c r="AG476" s="14"/>
      <c r="AH476" s="14"/>
      <c r="AI476" s="14"/>
      <c r="AJ476" s="84">
        <v>30</v>
      </c>
      <c r="AK476" s="78">
        <v>2021</v>
      </c>
      <c r="AL476" s="85">
        <v>1650000</v>
      </c>
      <c r="AM476" s="84"/>
    </row>
    <row r="477" spans="1:39" s="27" customFormat="1" ht="66">
      <c r="A477" s="34" t="s">
        <v>879</v>
      </c>
      <c r="B477" s="34"/>
      <c r="C477" s="72"/>
      <c r="D477" s="72"/>
      <c r="E477" s="120" t="s">
        <v>905</v>
      </c>
      <c r="F477" s="120"/>
      <c r="G477" s="87" t="s">
        <v>200</v>
      </c>
      <c r="H477" s="87" t="s">
        <v>201</v>
      </c>
      <c r="I477" s="87" t="s">
        <v>108</v>
      </c>
      <c r="J477" s="89" t="s">
        <v>202</v>
      </c>
      <c r="K477" s="82" t="s">
        <v>332</v>
      </c>
      <c r="L477" s="298">
        <f t="shared" si="64"/>
        <v>1400000</v>
      </c>
      <c r="M477" s="299"/>
      <c r="N477" s="301">
        <v>1400000</v>
      </c>
      <c r="O477" s="296"/>
      <c r="P477" s="296"/>
      <c r="Q477" s="296"/>
      <c r="R477" s="84"/>
      <c r="S477" s="67">
        <f t="shared" si="65"/>
        <v>0</v>
      </c>
      <c r="T477" s="67"/>
      <c r="U477" s="67">
        <v>1400000</v>
      </c>
      <c r="V477" s="26">
        <v>3</v>
      </c>
      <c r="W477" s="19" t="s">
        <v>273</v>
      </c>
      <c r="X477" s="19"/>
      <c r="Y477" s="19"/>
      <c r="Z477" s="52"/>
      <c r="AA477" s="52"/>
      <c r="AB477" s="19">
        <v>1400000</v>
      </c>
      <c r="AC477" s="19"/>
      <c r="AD477" s="19"/>
      <c r="AE477" s="19"/>
      <c r="AF477" s="14"/>
      <c r="AG477" s="14"/>
      <c r="AH477" s="14"/>
      <c r="AI477" s="14"/>
      <c r="AJ477" s="84">
        <v>100</v>
      </c>
      <c r="AK477" s="78" t="s">
        <v>271</v>
      </c>
      <c r="AL477" s="85">
        <v>1500000</v>
      </c>
      <c r="AM477" s="84">
        <v>7</v>
      </c>
    </row>
    <row r="478" spans="1:39" s="27" customFormat="1" ht="66">
      <c r="A478" s="34" t="s">
        <v>879</v>
      </c>
      <c r="B478" s="34"/>
      <c r="C478" s="72"/>
      <c r="D478" s="72"/>
      <c r="E478" s="120" t="s">
        <v>904</v>
      </c>
      <c r="F478" s="120"/>
      <c r="G478" s="87" t="s">
        <v>200</v>
      </c>
      <c r="H478" s="87" t="s">
        <v>201</v>
      </c>
      <c r="I478" s="87" t="s">
        <v>108</v>
      </c>
      <c r="J478" s="89" t="s">
        <v>202</v>
      </c>
      <c r="K478" s="82" t="s">
        <v>1001</v>
      </c>
      <c r="L478" s="298">
        <f t="shared" si="64"/>
        <v>2389800</v>
      </c>
      <c r="M478" s="299"/>
      <c r="N478" s="301">
        <v>2389800</v>
      </c>
      <c r="O478" s="296"/>
      <c r="P478" s="296"/>
      <c r="Q478" s="296"/>
      <c r="R478" s="84"/>
      <c r="S478" s="67">
        <f t="shared" si="65"/>
        <v>0</v>
      </c>
      <c r="T478" s="67"/>
      <c r="U478" s="67">
        <v>2389800</v>
      </c>
      <c r="V478" s="26">
        <v>3</v>
      </c>
      <c r="W478" s="19" t="s">
        <v>254</v>
      </c>
      <c r="X478" s="19"/>
      <c r="Y478" s="19"/>
      <c r="Z478" s="52"/>
      <c r="AA478" s="52"/>
      <c r="AB478" s="19">
        <v>2389800</v>
      </c>
      <c r="AC478" s="19"/>
      <c r="AD478" s="19"/>
      <c r="AE478" s="19"/>
      <c r="AF478" s="14"/>
      <c r="AG478" s="14"/>
      <c r="AH478" s="14"/>
      <c r="AI478" s="14"/>
      <c r="AJ478" s="84">
        <v>16</v>
      </c>
      <c r="AK478" s="78" t="s">
        <v>272</v>
      </c>
      <c r="AL478" s="85">
        <v>14850000</v>
      </c>
      <c r="AM478" s="84">
        <v>1</v>
      </c>
    </row>
    <row r="479" spans="1:39" s="27" customFormat="1" ht="33">
      <c r="A479" s="34" t="s">
        <v>879</v>
      </c>
      <c r="B479" s="34"/>
      <c r="C479" s="72"/>
      <c r="D479" s="72"/>
      <c r="E479" s="120" t="s">
        <v>905</v>
      </c>
      <c r="F479" s="120"/>
      <c r="G479" s="87" t="s">
        <v>200</v>
      </c>
      <c r="H479" s="87" t="s">
        <v>201</v>
      </c>
      <c r="I479" s="87" t="s">
        <v>108</v>
      </c>
      <c r="J479" s="89" t="s">
        <v>202</v>
      </c>
      <c r="K479" s="82" t="s">
        <v>706</v>
      </c>
      <c r="L479" s="298">
        <f t="shared" si="64"/>
        <v>114600</v>
      </c>
      <c r="M479" s="299"/>
      <c r="N479" s="301">
        <v>114600</v>
      </c>
      <c r="O479" s="296"/>
      <c r="P479" s="296"/>
      <c r="Q479" s="296"/>
      <c r="R479" s="84"/>
      <c r="S479" s="67">
        <f t="shared" si="65"/>
        <v>0</v>
      </c>
      <c r="T479" s="67"/>
      <c r="U479" s="67">
        <v>114600</v>
      </c>
      <c r="V479" s="26">
        <v>2</v>
      </c>
      <c r="W479" s="19" t="s">
        <v>254</v>
      </c>
      <c r="X479" s="19"/>
      <c r="Y479" s="19">
        <v>114600</v>
      </c>
      <c r="Z479" s="52"/>
      <c r="AA479" s="52"/>
      <c r="AB479" s="19"/>
      <c r="AC479" s="19"/>
      <c r="AD479" s="19"/>
      <c r="AE479" s="19"/>
      <c r="AF479" s="14"/>
      <c r="AG479" s="14"/>
      <c r="AH479" s="14"/>
      <c r="AI479" s="14"/>
      <c r="AJ479" s="84">
        <v>100</v>
      </c>
      <c r="AK479" s="78" t="s">
        <v>271</v>
      </c>
      <c r="AL479" s="85">
        <v>489600</v>
      </c>
      <c r="AM479" s="84">
        <v>77</v>
      </c>
    </row>
    <row r="480" spans="1:39" s="27" customFormat="1" ht="66">
      <c r="A480" s="34" t="s">
        <v>879</v>
      </c>
      <c r="B480" s="34"/>
      <c r="C480" s="72"/>
      <c r="D480" s="72"/>
      <c r="E480" s="120" t="s">
        <v>1469</v>
      </c>
      <c r="F480" s="120"/>
      <c r="G480" s="87" t="s">
        <v>200</v>
      </c>
      <c r="H480" s="87" t="s">
        <v>201</v>
      </c>
      <c r="I480" s="87" t="s">
        <v>108</v>
      </c>
      <c r="J480" s="89" t="s">
        <v>304</v>
      </c>
      <c r="K480" s="82" t="s">
        <v>1148</v>
      </c>
      <c r="L480" s="298">
        <f t="shared" si="64"/>
        <v>49000</v>
      </c>
      <c r="M480" s="299"/>
      <c r="N480" s="301">
        <v>49000</v>
      </c>
      <c r="O480" s="296"/>
      <c r="P480" s="296"/>
      <c r="Q480" s="296"/>
      <c r="R480" s="84"/>
      <c r="S480" s="67">
        <f t="shared" si="65"/>
        <v>0</v>
      </c>
      <c r="T480" s="67"/>
      <c r="U480" s="67">
        <v>49000</v>
      </c>
      <c r="V480" s="26">
        <v>3</v>
      </c>
      <c r="W480" s="19" t="s">
        <v>254</v>
      </c>
      <c r="X480" s="19"/>
      <c r="Y480" s="19"/>
      <c r="Z480" s="52"/>
      <c r="AA480" s="52"/>
      <c r="AB480" s="19">
        <v>49000</v>
      </c>
      <c r="AC480" s="19"/>
      <c r="AD480" s="19"/>
      <c r="AE480" s="19"/>
      <c r="AF480" s="14"/>
      <c r="AG480" s="14"/>
      <c r="AH480" s="14"/>
      <c r="AI480" s="14"/>
      <c r="AJ480" s="84">
        <v>100</v>
      </c>
      <c r="AK480" s="78">
        <v>2021</v>
      </c>
      <c r="AL480" s="85">
        <v>49000</v>
      </c>
      <c r="AM480" s="84"/>
    </row>
    <row r="481" spans="1:39" s="27" customFormat="1" ht="82.5">
      <c r="A481" s="34" t="s">
        <v>879</v>
      </c>
      <c r="B481" s="34"/>
      <c r="C481" s="72"/>
      <c r="D481" s="72"/>
      <c r="E481" s="120" t="s">
        <v>1469</v>
      </c>
      <c r="F481" s="120"/>
      <c r="G481" s="87" t="s">
        <v>200</v>
      </c>
      <c r="H481" s="87" t="s">
        <v>201</v>
      </c>
      <c r="I481" s="87" t="s">
        <v>108</v>
      </c>
      <c r="J481" s="89" t="s">
        <v>304</v>
      </c>
      <c r="K481" s="82" t="s">
        <v>305</v>
      </c>
      <c r="L481" s="298">
        <f t="shared" si="64"/>
        <v>55000</v>
      </c>
      <c r="M481" s="299"/>
      <c r="N481" s="301">
        <v>55000</v>
      </c>
      <c r="O481" s="296"/>
      <c r="P481" s="296"/>
      <c r="Q481" s="296"/>
      <c r="R481" s="84"/>
      <c r="S481" s="67">
        <f t="shared" si="65"/>
        <v>0</v>
      </c>
      <c r="T481" s="67"/>
      <c r="U481" s="67">
        <v>55000</v>
      </c>
      <c r="V481" s="26">
        <v>3</v>
      </c>
      <c r="W481" s="19" t="s">
        <v>254</v>
      </c>
      <c r="X481" s="19"/>
      <c r="Y481" s="19"/>
      <c r="Z481" s="52"/>
      <c r="AA481" s="52"/>
      <c r="AB481" s="19">
        <v>55000</v>
      </c>
      <c r="AC481" s="19"/>
      <c r="AD481" s="19"/>
      <c r="AE481" s="19"/>
      <c r="AF481" s="14"/>
      <c r="AG481" s="14"/>
      <c r="AH481" s="14"/>
      <c r="AI481" s="14"/>
      <c r="AJ481" s="84">
        <v>100</v>
      </c>
      <c r="AK481" s="78" t="s">
        <v>271</v>
      </c>
      <c r="AL481" s="85">
        <v>55000</v>
      </c>
      <c r="AM481" s="84"/>
    </row>
    <row r="482" spans="1:39" s="27" customFormat="1" ht="49.5">
      <c r="A482" s="34" t="s">
        <v>879</v>
      </c>
      <c r="B482" s="34"/>
      <c r="C482" s="72"/>
      <c r="D482" s="72"/>
      <c r="E482" s="120" t="s">
        <v>901</v>
      </c>
      <c r="F482" s="120"/>
      <c r="G482" s="87" t="s">
        <v>306</v>
      </c>
      <c r="H482" s="87" t="s">
        <v>107</v>
      </c>
      <c r="I482" s="87" t="s">
        <v>108</v>
      </c>
      <c r="J482" s="89" t="s">
        <v>280</v>
      </c>
      <c r="K482" s="82" t="s">
        <v>1002</v>
      </c>
      <c r="L482" s="298">
        <f t="shared" si="64"/>
        <v>65000</v>
      </c>
      <c r="M482" s="299"/>
      <c r="N482" s="301">
        <v>65000</v>
      </c>
      <c r="O482" s="296"/>
      <c r="P482" s="296"/>
      <c r="Q482" s="296"/>
      <c r="R482" s="84"/>
      <c r="S482" s="67">
        <f t="shared" si="65"/>
        <v>0</v>
      </c>
      <c r="T482" s="67"/>
      <c r="U482" s="67">
        <v>65000</v>
      </c>
      <c r="V482" s="26">
        <v>3</v>
      </c>
      <c r="W482" s="19" t="s">
        <v>254</v>
      </c>
      <c r="X482" s="19"/>
      <c r="Y482" s="19"/>
      <c r="Z482" s="52"/>
      <c r="AA482" s="52"/>
      <c r="AB482" s="19">
        <v>65000</v>
      </c>
      <c r="AC482" s="19"/>
      <c r="AD482" s="19"/>
      <c r="AE482" s="19"/>
      <c r="AF482" s="14"/>
      <c r="AG482" s="14"/>
      <c r="AH482" s="14"/>
      <c r="AI482" s="14"/>
      <c r="AJ482" s="84">
        <v>100</v>
      </c>
      <c r="AK482" s="78">
        <v>2021</v>
      </c>
      <c r="AL482" s="85">
        <v>65000</v>
      </c>
      <c r="AM482" s="84"/>
    </row>
    <row r="483" spans="1:39" s="27" customFormat="1" ht="49.5">
      <c r="A483" s="34" t="s">
        <v>879</v>
      </c>
      <c r="B483" s="34"/>
      <c r="C483" s="72"/>
      <c r="D483" s="72"/>
      <c r="E483" s="120" t="s">
        <v>901</v>
      </c>
      <c r="F483" s="120"/>
      <c r="G483" s="87" t="s">
        <v>306</v>
      </c>
      <c r="H483" s="87" t="s">
        <v>107</v>
      </c>
      <c r="I483" s="87" t="s">
        <v>108</v>
      </c>
      <c r="J483" s="89" t="s">
        <v>280</v>
      </c>
      <c r="K483" s="82" t="s">
        <v>707</v>
      </c>
      <c r="L483" s="298">
        <f t="shared" si="64"/>
        <v>403800</v>
      </c>
      <c r="M483" s="299"/>
      <c r="N483" s="301">
        <v>403800</v>
      </c>
      <c r="O483" s="296"/>
      <c r="P483" s="296"/>
      <c r="Q483" s="296"/>
      <c r="R483" s="84"/>
      <c r="S483" s="67">
        <f t="shared" si="65"/>
        <v>0</v>
      </c>
      <c r="T483" s="67"/>
      <c r="U483" s="67">
        <v>403800</v>
      </c>
      <c r="V483" s="26">
        <v>3</v>
      </c>
      <c r="W483" s="19" t="s">
        <v>254</v>
      </c>
      <c r="X483" s="19"/>
      <c r="Y483" s="19"/>
      <c r="Z483" s="52"/>
      <c r="AA483" s="52"/>
      <c r="AB483" s="19">
        <v>403800</v>
      </c>
      <c r="AC483" s="19"/>
      <c r="AD483" s="19"/>
      <c r="AE483" s="19"/>
      <c r="AF483" s="14"/>
      <c r="AG483" s="14"/>
      <c r="AH483" s="14"/>
      <c r="AI483" s="14"/>
      <c r="AJ483" s="84">
        <v>100</v>
      </c>
      <c r="AK483" s="78">
        <v>2021</v>
      </c>
      <c r="AL483" s="85">
        <v>403800</v>
      </c>
      <c r="AM483" s="84"/>
    </row>
    <row r="484" spans="1:39" s="27" customFormat="1" ht="49.5">
      <c r="A484" s="34" t="s">
        <v>879</v>
      </c>
      <c r="B484" s="34"/>
      <c r="C484" s="72"/>
      <c r="D484" s="72"/>
      <c r="E484" s="120" t="s">
        <v>904</v>
      </c>
      <c r="F484" s="120"/>
      <c r="G484" s="87" t="s">
        <v>306</v>
      </c>
      <c r="H484" s="87" t="s">
        <v>107</v>
      </c>
      <c r="I484" s="87" t="s">
        <v>108</v>
      </c>
      <c r="J484" s="89" t="s">
        <v>280</v>
      </c>
      <c r="K484" s="82" t="s">
        <v>333</v>
      </c>
      <c r="L484" s="298">
        <f t="shared" si="64"/>
        <v>108000</v>
      </c>
      <c r="M484" s="299"/>
      <c r="N484" s="301">
        <v>108000</v>
      </c>
      <c r="O484" s="296"/>
      <c r="P484" s="296"/>
      <c r="Q484" s="296"/>
      <c r="R484" s="84"/>
      <c r="S484" s="67">
        <f t="shared" si="65"/>
        <v>0</v>
      </c>
      <c r="T484" s="67"/>
      <c r="U484" s="67">
        <v>108000</v>
      </c>
      <c r="V484" s="26">
        <v>3</v>
      </c>
      <c r="W484" s="19" t="s">
        <v>254</v>
      </c>
      <c r="X484" s="19"/>
      <c r="Y484" s="19"/>
      <c r="Z484" s="52"/>
      <c r="AA484" s="52"/>
      <c r="AB484" s="19">
        <v>108000</v>
      </c>
      <c r="AC484" s="19"/>
      <c r="AD484" s="19"/>
      <c r="AE484" s="19"/>
      <c r="AF484" s="14"/>
      <c r="AG484" s="14"/>
      <c r="AH484" s="14"/>
      <c r="AI484" s="14"/>
      <c r="AJ484" s="84">
        <v>100</v>
      </c>
      <c r="AK484" s="78">
        <v>2021</v>
      </c>
      <c r="AL484" s="85">
        <v>108000</v>
      </c>
      <c r="AM484" s="84"/>
    </row>
    <row r="485" spans="1:39" s="66" customFormat="1" ht="82.5">
      <c r="A485" s="72" t="s">
        <v>879</v>
      </c>
      <c r="B485" s="72"/>
      <c r="C485" s="72"/>
      <c r="D485" s="72"/>
      <c r="E485" s="120" t="s">
        <v>1273</v>
      </c>
      <c r="F485" s="120"/>
      <c r="G485" s="87" t="s">
        <v>302</v>
      </c>
      <c r="H485" s="87" t="s">
        <v>303</v>
      </c>
      <c r="I485" s="87" t="s">
        <v>108</v>
      </c>
      <c r="J485" s="89" t="s">
        <v>282</v>
      </c>
      <c r="K485" s="155" t="s">
        <v>1271</v>
      </c>
      <c r="L485" s="293">
        <f t="shared" si="64"/>
        <v>40000</v>
      </c>
      <c r="M485" s="294"/>
      <c r="N485" s="302">
        <v>40000</v>
      </c>
      <c r="O485" s="309"/>
      <c r="P485" s="309"/>
      <c r="Q485" s="309"/>
      <c r="R485" s="159"/>
      <c r="S485" s="67">
        <f t="shared" si="65"/>
        <v>0</v>
      </c>
      <c r="T485" s="43"/>
      <c r="U485" s="43">
        <v>40000</v>
      </c>
      <c r="V485" s="26"/>
      <c r="W485" s="67"/>
      <c r="X485" s="67"/>
      <c r="Y485" s="67"/>
      <c r="Z485" s="67"/>
      <c r="AA485" s="67"/>
      <c r="AB485" s="67"/>
      <c r="AC485" s="67"/>
      <c r="AD485" s="67"/>
      <c r="AE485" s="67"/>
      <c r="AF485" s="71"/>
      <c r="AG485" s="71"/>
      <c r="AH485" s="71"/>
      <c r="AI485" s="71"/>
      <c r="AJ485" s="117"/>
      <c r="AK485" s="115">
        <v>2020</v>
      </c>
      <c r="AL485" s="118"/>
      <c r="AM485" s="117"/>
    </row>
    <row r="486" spans="1:39" s="66" customFormat="1" ht="66">
      <c r="A486" s="72" t="s">
        <v>879</v>
      </c>
      <c r="B486" s="72"/>
      <c r="C486" s="72"/>
      <c r="D486" s="72"/>
      <c r="E486" s="120" t="s">
        <v>1273</v>
      </c>
      <c r="F486" s="120"/>
      <c r="G486" s="87" t="s">
        <v>302</v>
      </c>
      <c r="H486" s="87" t="s">
        <v>303</v>
      </c>
      <c r="I486" s="87" t="s">
        <v>108</v>
      </c>
      <c r="J486" s="89" t="s">
        <v>282</v>
      </c>
      <c r="K486" s="155" t="s">
        <v>1272</v>
      </c>
      <c r="L486" s="293">
        <f t="shared" si="64"/>
        <v>2460000</v>
      </c>
      <c r="M486" s="294"/>
      <c r="N486" s="302">
        <v>2460000</v>
      </c>
      <c r="O486" s="309"/>
      <c r="P486" s="309"/>
      <c r="Q486" s="309"/>
      <c r="R486" s="159"/>
      <c r="S486" s="67">
        <f t="shared" si="65"/>
        <v>0</v>
      </c>
      <c r="T486" s="43"/>
      <c r="U486" s="43">
        <v>2460000</v>
      </c>
      <c r="V486" s="26"/>
      <c r="W486" s="67"/>
      <c r="X486" s="67"/>
      <c r="Y486" s="67"/>
      <c r="Z486" s="67"/>
      <c r="AA486" s="67"/>
      <c r="AB486" s="67"/>
      <c r="AC486" s="67"/>
      <c r="AD486" s="67"/>
      <c r="AE486" s="67"/>
      <c r="AF486" s="71"/>
      <c r="AG486" s="71"/>
      <c r="AH486" s="71"/>
      <c r="AI486" s="71"/>
      <c r="AJ486" s="117">
        <v>100</v>
      </c>
      <c r="AK486" s="115" t="s">
        <v>271</v>
      </c>
      <c r="AL486" s="118">
        <v>2565000</v>
      </c>
      <c r="AM486" s="117">
        <v>2</v>
      </c>
    </row>
    <row r="487" spans="1:39" s="198" customFormat="1">
      <c r="A487" s="193" t="s">
        <v>880</v>
      </c>
      <c r="B487" s="181" t="s">
        <v>193</v>
      </c>
      <c r="C487" s="181"/>
      <c r="D487" s="181"/>
      <c r="E487" s="182" t="s">
        <v>1225</v>
      </c>
      <c r="F487" s="182"/>
      <c r="G487" s="183" t="s">
        <v>55</v>
      </c>
      <c r="H487" s="183"/>
      <c r="I487" s="183"/>
      <c r="J487" s="184" t="s">
        <v>56</v>
      </c>
      <c r="K487" s="201"/>
      <c r="L487" s="287">
        <f t="shared" ref="L487" si="66">SUM(L489:L491)</f>
        <v>1000000</v>
      </c>
      <c r="M487" s="288">
        <f>SUM(M489:M491)</f>
        <v>0</v>
      </c>
      <c r="N487" s="289">
        <f>SUM(N489:N491)</f>
        <v>1000000</v>
      </c>
      <c r="O487" s="289">
        <f t="shared" ref="O487:P487" si="67">SUM(O489:O491)</f>
        <v>0</v>
      </c>
      <c r="P487" s="289">
        <f t="shared" si="67"/>
        <v>0</v>
      </c>
      <c r="Q487" s="289">
        <f t="shared" ref="Q487" si="68">SUM(Q489:Q491)</f>
        <v>0</v>
      </c>
      <c r="R487" s="187">
        <f t="shared" ref="R487:R488" si="69">L487-M487-N487-O487-P487-Q487</f>
        <v>0</v>
      </c>
      <c r="S487" s="187"/>
      <c r="T487" s="187"/>
      <c r="U487" s="187">
        <f>SUM(U489:U491)</f>
        <v>1000000</v>
      </c>
      <c r="V487" s="187"/>
      <c r="W487" s="187"/>
      <c r="X487" s="187">
        <f>SUM(X489:X491)</f>
        <v>0</v>
      </c>
      <c r="Y487" s="187">
        <f>SUM(Y489:Y491)</f>
        <v>0</v>
      </c>
      <c r="Z487" s="187"/>
      <c r="AA487" s="187"/>
      <c r="AB487" s="187">
        <f>SUM(AB489:AB491)</f>
        <v>1000000</v>
      </c>
      <c r="AC487" s="187">
        <f>X487+Y487+AB487-N487</f>
        <v>0</v>
      </c>
      <c r="AD487" s="187">
        <f>SUM(AD489:AD491)</f>
        <v>0</v>
      </c>
      <c r="AE487" s="187">
        <f>SUM(AE489:AE491)</f>
        <v>0</v>
      </c>
      <c r="AF487" s="187">
        <f>SUM(AF489:AF491)</f>
        <v>0</v>
      </c>
      <c r="AG487" s="187">
        <f>SUM(AG489:AG491)</f>
        <v>0</v>
      </c>
      <c r="AH487" s="187">
        <f>SUM(AH489:AH491)</f>
        <v>0</v>
      </c>
      <c r="AI487" s="195"/>
      <c r="AJ487" s="187"/>
      <c r="AK487" s="185"/>
      <c r="AL487" s="196"/>
      <c r="AM487" s="197"/>
    </row>
    <row r="488" spans="1:39" s="198" customFormat="1">
      <c r="A488" s="193" t="s">
        <v>880</v>
      </c>
      <c r="B488" s="193"/>
      <c r="C488" s="193"/>
      <c r="D488" s="193"/>
      <c r="E488" s="182" t="s">
        <v>1225</v>
      </c>
      <c r="F488" s="182"/>
      <c r="G488" s="183" t="s">
        <v>57</v>
      </c>
      <c r="H488" s="183"/>
      <c r="I488" s="183"/>
      <c r="J488" s="190" t="s">
        <v>56</v>
      </c>
      <c r="K488" s="201"/>
      <c r="L488" s="290"/>
      <c r="M488" s="291"/>
      <c r="N488" s="297"/>
      <c r="O488" s="297"/>
      <c r="P488" s="297"/>
      <c r="Q488" s="297"/>
      <c r="R488" s="187">
        <f t="shared" si="69"/>
        <v>0</v>
      </c>
      <c r="S488" s="199"/>
      <c r="T488" s="199"/>
      <c r="U488" s="199"/>
      <c r="V488" s="200"/>
      <c r="W488" s="199"/>
      <c r="X488" s="199"/>
      <c r="Y488" s="199"/>
      <c r="Z488" s="199"/>
      <c r="AA488" s="199"/>
      <c r="AB488" s="199"/>
      <c r="AC488" s="199"/>
      <c r="AD488" s="199"/>
      <c r="AE488" s="199"/>
      <c r="AF488" s="199"/>
      <c r="AG488" s="199"/>
      <c r="AH488" s="199"/>
      <c r="AI488" s="195"/>
      <c r="AJ488" s="199"/>
      <c r="AK488" s="185"/>
      <c r="AL488" s="196"/>
      <c r="AM488" s="197"/>
    </row>
    <row r="489" spans="1:39" s="27" customFormat="1" ht="33">
      <c r="A489" s="34" t="s">
        <v>880</v>
      </c>
      <c r="B489" s="72"/>
      <c r="C489" s="72"/>
      <c r="D489" s="72"/>
      <c r="E489" s="120" t="s">
        <v>1469</v>
      </c>
      <c r="F489" s="120"/>
      <c r="G489" s="87" t="s">
        <v>293</v>
      </c>
      <c r="H489" s="87" t="s">
        <v>15</v>
      </c>
      <c r="I489" s="87" t="s">
        <v>16</v>
      </c>
      <c r="J489" s="89" t="s">
        <v>289</v>
      </c>
      <c r="K489" s="82" t="s">
        <v>18</v>
      </c>
      <c r="L489" s="298">
        <f>SUM(M489:Q489)</f>
        <v>125000</v>
      </c>
      <c r="M489" s="299"/>
      <c r="N489" s="301">
        <v>125000</v>
      </c>
      <c r="O489" s="286"/>
      <c r="P489" s="286"/>
      <c r="Q489" s="286"/>
      <c r="R489" s="78"/>
      <c r="S489" s="67"/>
      <c r="T489" s="67"/>
      <c r="U489" s="67">
        <v>125000</v>
      </c>
      <c r="V489" s="69">
        <v>3</v>
      </c>
      <c r="W489" s="58" t="s">
        <v>254</v>
      </c>
      <c r="X489" s="67"/>
      <c r="Y489" s="67"/>
      <c r="Z489" s="67"/>
      <c r="AA489" s="67"/>
      <c r="AB489" s="67">
        <v>125000</v>
      </c>
      <c r="AC489" s="67"/>
      <c r="AD489" s="67"/>
      <c r="AE489" s="67"/>
      <c r="AF489" s="67"/>
      <c r="AG489" s="67"/>
      <c r="AH489" s="67"/>
      <c r="AI489" s="14"/>
      <c r="AJ489" s="78"/>
      <c r="AK489" s="78">
        <v>2021</v>
      </c>
      <c r="AL489" s="83"/>
      <c r="AM489" s="84"/>
    </row>
    <row r="490" spans="1:39" s="27" customFormat="1" ht="49.5">
      <c r="A490" s="34" t="s">
        <v>880</v>
      </c>
      <c r="B490" s="34"/>
      <c r="C490" s="72"/>
      <c r="D490" s="72"/>
      <c r="E490" s="120" t="s">
        <v>1469</v>
      </c>
      <c r="F490" s="120"/>
      <c r="G490" s="87" t="s">
        <v>294</v>
      </c>
      <c r="H490" s="87" t="s">
        <v>296</v>
      </c>
      <c r="I490" s="87" t="s">
        <v>298</v>
      </c>
      <c r="J490" s="89" t="s">
        <v>290</v>
      </c>
      <c r="K490" s="82" t="s">
        <v>291</v>
      </c>
      <c r="L490" s="298">
        <f>SUM(M490:Q490)</f>
        <v>512000</v>
      </c>
      <c r="M490" s="299"/>
      <c r="N490" s="301">
        <v>512000</v>
      </c>
      <c r="O490" s="286"/>
      <c r="P490" s="286"/>
      <c r="Q490" s="286"/>
      <c r="R490" s="78"/>
      <c r="S490" s="67"/>
      <c r="T490" s="67"/>
      <c r="U490" s="67">
        <v>512000</v>
      </c>
      <c r="V490" s="9">
        <v>3</v>
      </c>
      <c r="W490" s="58" t="s">
        <v>254</v>
      </c>
      <c r="X490" s="19"/>
      <c r="Y490" s="19"/>
      <c r="Z490" s="52"/>
      <c r="AA490" s="52"/>
      <c r="AB490" s="19">
        <v>512000</v>
      </c>
      <c r="AC490" s="19"/>
      <c r="AD490" s="19"/>
      <c r="AE490" s="19"/>
      <c r="AF490" s="19"/>
      <c r="AG490" s="19"/>
      <c r="AH490" s="19"/>
      <c r="AI490" s="14"/>
      <c r="AJ490" s="78"/>
      <c r="AK490" s="78">
        <v>2021</v>
      </c>
      <c r="AL490" s="83"/>
      <c r="AM490" s="84"/>
    </row>
    <row r="491" spans="1:39" s="27" customFormat="1" ht="49.5">
      <c r="A491" s="34" t="s">
        <v>880</v>
      </c>
      <c r="B491" s="34"/>
      <c r="C491" s="72"/>
      <c r="D491" s="72"/>
      <c r="E491" s="120" t="s">
        <v>901</v>
      </c>
      <c r="F491" s="120"/>
      <c r="G491" s="87" t="s">
        <v>295</v>
      </c>
      <c r="H491" s="87" t="s">
        <v>297</v>
      </c>
      <c r="I491" s="87" t="s">
        <v>299</v>
      </c>
      <c r="J491" s="89" t="s">
        <v>292</v>
      </c>
      <c r="K491" s="82" t="s">
        <v>1003</v>
      </c>
      <c r="L491" s="298">
        <f>SUM(M491:Q491)</f>
        <v>363000</v>
      </c>
      <c r="M491" s="299"/>
      <c r="N491" s="301">
        <v>363000</v>
      </c>
      <c r="O491" s="286"/>
      <c r="P491" s="286"/>
      <c r="Q491" s="286"/>
      <c r="R491" s="78"/>
      <c r="S491" s="67"/>
      <c r="T491" s="67"/>
      <c r="U491" s="67">
        <v>363000</v>
      </c>
      <c r="V491" s="9">
        <v>3</v>
      </c>
      <c r="W491" s="21" t="s">
        <v>273</v>
      </c>
      <c r="X491" s="19"/>
      <c r="Y491" s="19"/>
      <c r="Z491" s="52"/>
      <c r="AA491" s="52"/>
      <c r="AB491" s="19">
        <v>363000</v>
      </c>
      <c r="AC491" s="19"/>
      <c r="AD491" s="19"/>
      <c r="AE491" s="19"/>
      <c r="AF491" s="19"/>
      <c r="AG491" s="19"/>
      <c r="AH491" s="19"/>
      <c r="AI491" s="14"/>
      <c r="AJ491" s="78"/>
      <c r="AK491" s="78">
        <v>2021</v>
      </c>
      <c r="AL491" s="83"/>
      <c r="AM491" s="84"/>
    </row>
    <row r="492" spans="1:39" s="198" customFormat="1">
      <c r="A492" s="193" t="s">
        <v>881</v>
      </c>
      <c r="B492" s="181" t="s">
        <v>193</v>
      </c>
      <c r="C492" s="181"/>
      <c r="D492" s="181"/>
      <c r="E492" s="182" t="s">
        <v>1225</v>
      </c>
      <c r="F492" s="182"/>
      <c r="G492" s="208" t="s">
        <v>58</v>
      </c>
      <c r="H492" s="208"/>
      <c r="I492" s="208"/>
      <c r="J492" s="209" t="s">
        <v>59</v>
      </c>
      <c r="K492" s="210"/>
      <c r="L492" s="317">
        <f t="shared" ref="L492" si="70">SUM(L494:L562)</f>
        <v>85400000</v>
      </c>
      <c r="M492" s="318">
        <f>SUM(M494:M562)</f>
        <v>0</v>
      </c>
      <c r="N492" s="318">
        <f>SUM(N494:N562)</f>
        <v>85400000</v>
      </c>
      <c r="O492" s="318">
        <f t="shared" ref="O492:P492" si="71">SUM(O494:O562)</f>
        <v>0</v>
      </c>
      <c r="P492" s="318">
        <f t="shared" si="71"/>
        <v>0</v>
      </c>
      <c r="Q492" s="318">
        <f t="shared" ref="Q492" si="72">SUM(Q494:Q562)</f>
        <v>0</v>
      </c>
      <c r="R492" s="187">
        <f t="shared" ref="R492:R493" si="73">L492-M492-N492-O492-P492-Q492</f>
        <v>0</v>
      </c>
      <c r="S492" s="187">
        <f>SUM(S494:S562)</f>
        <v>22050000</v>
      </c>
      <c r="T492" s="187"/>
      <c r="U492" s="187">
        <f>SUM(U494:U562)</f>
        <v>63350000</v>
      </c>
      <c r="V492" s="187"/>
      <c r="W492" s="187"/>
      <c r="X492" s="187">
        <f>SUM(X494:X562)</f>
        <v>4786850.16</v>
      </c>
      <c r="Y492" s="187">
        <f>SUM(Y494:Y562)</f>
        <v>18844360.079999998</v>
      </c>
      <c r="Z492" s="187"/>
      <c r="AA492" s="187"/>
      <c r="AB492" s="187">
        <f>SUM(AB494:AB562)</f>
        <v>23518789.759999998</v>
      </c>
      <c r="AC492" s="187">
        <f>X492+Y492+AB492-N492</f>
        <v>-38250000</v>
      </c>
      <c r="AD492" s="187">
        <f>SUM(AD494:AD562)</f>
        <v>0</v>
      </c>
      <c r="AE492" s="187">
        <f>SUM(AE494:AE562)</f>
        <v>0</v>
      </c>
      <c r="AF492" s="187">
        <f>SUM(AF494:AF562)</f>
        <v>0</v>
      </c>
      <c r="AG492" s="187">
        <f>SUM(AG494:AG562)</f>
        <v>0</v>
      </c>
      <c r="AH492" s="187">
        <f>SUM(AH494:AH562)</f>
        <v>0</v>
      </c>
      <c r="AI492" s="195"/>
      <c r="AJ492" s="211"/>
      <c r="AK492" s="212"/>
      <c r="AL492" s="213"/>
      <c r="AM492" s="214"/>
    </row>
    <row r="493" spans="1:39" s="198" customFormat="1">
      <c r="A493" s="193" t="s">
        <v>881</v>
      </c>
      <c r="B493" s="193"/>
      <c r="C493" s="193"/>
      <c r="D493" s="193"/>
      <c r="E493" s="182" t="s">
        <v>1225</v>
      </c>
      <c r="F493" s="182"/>
      <c r="G493" s="208" t="s">
        <v>60</v>
      </c>
      <c r="H493" s="208"/>
      <c r="I493" s="208"/>
      <c r="J493" s="215" t="s">
        <v>59</v>
      </c>
      <c r="K493" s="210"/>
      <c r="L493" s="319"/>
      <c r="M493" s="320"/>
      <c r="N493" s="320"/>
      <c r="O493" s="320"/>
      <c r="P493" s="320"/>
      <c r="Q493" s="320"/>
      <c r="R493" s="187">
        <f t="shared" si="73"/>
        <v>0</v>
      </c>
      <c r="S493" s="199"/>
      <c r="T493" s="199"/>
      <c r="U493" s="199"/>
      <c r="V493" s="200"/>
      <c r="W493" s="199"/>
      <c r="X493" s="199"/>
      <c r="Y493" s="199"/>
      <c r="Z493" s="199"/>
      <c r="AA493" s="199"/>
      <c r="AB493" s="199"/>
      <c r="AC493" s="199"/>
      <c r="AD493" s="199"/>
      <c r="AE493" s="199"/>
      <c r="AF493" s="199"/>
      <c r="AG493" s="199"/>
      <c r="AH493" s="199"/>
      <c r="AI493" s="195"/>
      <c r="AJ493" s="216"/>
      <c r="AK493" s="212"/>
      <c r="AL493" s="213"/>
      <c r="AM493" s="214"/>
    </row>
    <row r="494" spans="1:39" s="27" customFormat="1" ht="33">
      <c r="A494" s="34" t="s">
        <v>881</v>
      </c>
      <c r="B494" s="72"/>
      <c r="C494" s="72"/>
      <c r="D494" s="72"/>
      <c r="E494" s="120" t="s">
        <v>1469</v>
      </c>
      <c r="F494" s="120"/>
      <c r="G494" s="132">
        <v>1010160</v>
      </c>
      <c r="H494" s="132" t="s">
        <v>15</v>
      </c>
      <c r="I494" s="132" t="s">
        <v>16</v>
      </c>
      <c r="J494" s="133" t="s">
        <v>354</v>
      </c>
      <c r="K494" s="124" t="s">
        <v>18</v>
      </c>
      <c r="L494" s="307">
        <f t="shared" ref="L494:L525" si="74">SUM(M494:Q494)</f>
        <v>150000</v>
      </c>
      <c r="M494" s="308"/>
      <c r="N494" s="308">
        <v>150000</v>
      </c>
      <c r="O494" s="311"/>
      <c r="P494" s="311"/>
      <c r="Q494" s="311"/>
      <c r="R494" s="91"/>
      <c r="S494" s="68">
        <f t="shared" ref="S494:S525" si="75">N494-U494</f>
        <v>0</v>
      </c>
      <c r="T494" s="68"/>
      <c r="U494" s="68">
        <v>150000</v>
      </c>
      <c r="V494" s="10">
        <v>1.3</v>
      </c>
      <c r="W494" s="68" t="s">
        <v>254</v>
      </c>
      <c r="X494" s="68">
        <v>15600</v>
      </c>
      <c r="Y494" s="68"/>
      <c r="Z494" s="68"/>
      <c r="AA494" s="68">
        <v>1600000</v>
      </c>
      <c r="AB494" s="68">
        <f>N494-X494</f>
        <v>134400</v>
      </c>
      <c r="AC494" s="68"/>
      <c r="AD494" s="68"/>
      <c r="AE494" s="68"/>
      <c r="AF494" s="68"/>
      <c r="AG494" s="68"/>
      <c r="AH494" s="68"/>
      <c r="AI494" s="14"/>
      <c r="AJ494" s="140"/>
      <c r="AK494" s="135">
        <v>2021</v>
      </c>
      <c r="AL494" s="136"/>
      <c r="AM494" s="139"/>
    </row>
    <row r="495" spans="1:39" s="27" customFormat="1" ht="49.5">
      <c r="A495" s="34" t="s">
        <v>881</v>
      </c>
      <c r="B495" s="34"/>
      <c r="C495" s="72"/>
      <c r="D495" s="72"/>
      <c r="E495" s="120" t="s">
        <v>1469</v>
      </c>
      <c r="F495" s="120"/>
      <c r="G495" s="132" t="s">
        <v>203</v>
      </c>
      <c r="H495" s="132" t="s">
        <v>204</v>
      </c>
      <c r="I495" s="132" t="s">
        <v>205</v>
      </c>
      <c r="J495" s="133" t="s">
        <v>206</v>
      </c>
      <c r="K495" s="134" t="s">
        <v>349</v>
      </c>
      <c r="L495" s="307">
        <f t="shared" si="74"/>
        <v>158690</v>
      </c>
      <c r="M495" s="308"/>
      <c r="N495" s="308">
        <v>158690</v>
      </c>
      <c r="O495" s="311"/>
      <c r="P495" s="311"/>
      <c r="Q495" s="311"/>
      <c r="R495" s="91"/>
      <c r="S495" s="68">
        <f t="shared" si="75"/>
        <v>0</v>
      </c>
      <c r="T495" s="68"/>
      <c r="U495" s="68">
        <v>158690</v>
      </c>
      <c r="V495" s="10">
        <v>1</v>
      </c>
      <c r="W495" s="2" t="s">
        <v>254</v>
      </c>
      <c r="X495" s="2">
        <v>158690</v>
      </c>
      <c r="Y495" s="2"/>
      <c r="Z495" s="2"/>
      <c r="AA495" s="2"/>
      <c r="AB495" s="2"/>
      <c r="AC495" s="2"/>
      <c r="AD495" s="2"/>
      <c r="AE495" s="2"/>
      <c r="AF495" s="2"/>
      <c r="AG495" s="2"/>
      <c r="AH495" s="2"/>
      <c r="AI495" s="14"/>
      <c r="AJ495" s="140">
        <v>100</v>
      </c>
      <c r="AK495" s="135">
        <v>2021</v>
      </c>
      <c r="AL495" s="136"/>
      <c r="AM495" s="139"/>
    </row>
    <row r="496" spans="1:39" s="27" customFormat="1" ht="49.5">
      <c r="A496" s="34" t="s">
        <v>881</v>
      </c>
      <c r="B496" s="34"/>
      <c r="C496" s="72"/>
      <c r="D496" s="72"/>
      <c r="E496" s="120" t="s">
        <v>901</v>
      </c>
      <c r="F496" s="120"/>
      <c r="G496" s="132" t="s">
        <v>203</v>
      </c>
      <c r="H496" s="132" t="s">
        <v>204</v>
      </c>
      <c r="I496" s="132" t="s">
        <v>205</v>
      </c>
      <c r="J496" s="133" t="s">
        <v>206</v>
      </c>
      <c r="K496" s="134" t="s">
        <v>377</v>
      </c>
      <c r="L496" s="307">
        <f t="shared" si="74"/>
        <v>700000</v>
      </c>
      <c r="M496" s="308"/>
      <c r="N496" s="308">
        <f>1000000-300000</f>
        <v>700000</v>
      </c>
      <c r="O496" s="311"/>
      <c r="P496" s="311"/>
      <c r="Q496" s="311"/>
      <c r="R496" s="91"/>
      <c r="S496" s="68">
        <f t="shared" si="75"/>
        <v>0</v>
      </c>
      <c r="T496" s="61"/>
      <c r="U496" s="61">
        <f>1000000-300000</f>
        <v>700000</v>
      </c>
      <c r="V496" s="10">
        <v>1.3</v>
      </c>
      <c r="W496" s="2" t="s">
        <v>273</v>
      </c>
      <c r="X496" s="2">
        <v>620496</v>
      </c>
      <c r="Y496" s="2"/>
      <c r="Z496" s="2"/>
      <c r="AA496" s="2"/>
      <c r="AB496" s="2">
        <f>N496-X496</f>
        <v>79504</v>
      </c>
      <c r="AC496" s="2"/>
      <c r="AD496" s="2"/>
      <c r="AE496" s="2"/>
      <c r="AF496" s="2"/>
      <c r="AG496" s="2"/>
      <c r="AH496" s="2"/>
      <c r="AI496" s="14"/>
      <c r="AJ496" s="140">
        <v>100</v>
      </c>
      <c r="AK496" s="135">
        <v>2021</v>
      </c>
      <c r="AL496" s="136"/>
      <c r="AM496" s="139"/>
    </row>
    <row r="497" spans="1:39" s="27" customFormat="1" ht="33">
      <c r="A497" s="34" t="s">
        <v>881</v>
      </c>
      <c r="B497" s="34"/>
      <c r="C497" s="72"/>
      <c r="D497" s="72"/>
      <c r="E497" s="120" t="s">
        <v>901</v>
      </c>
      <c r="F497" s="120"/>
      <c r="G497" s="132" t="s">
        <v>203</v>
      </c>
      <c r="H497" s="132" t="s">
        <v>204</v>
      </c>
      <c r="I497" s="132" t="s">
        <v>205</v>
      </c>
      <c r="J497" s="133" t="s">
        <v>206</v>
      </c>
      <c r="K497" s="134" t="s">
        <v>700</v>
      </c>
      <c r="L497" s="307">
        <f t="shared" si="74"/>
        <v>300000</v>
      </c>
      <c r="M497" s="308"/>
      <c r="N497" s="308">
        <v>300000</v>
      </c>
      <c r="O497" s="311"/>
      <c r="P497" s="311"/>
      <c r="Q497" s="311"/>
      <c r="R497" s="91"/>
      <c r="S497" s="68">
        <f t="shared" si="75"/>
        <v>0</v>
      </c>
      <c r="T497" s="68"/>
      <c r="U497" s="68">
        <v>300000</v>
      </c>
      <c r="V497" s="10">
        <v>3</v>
      </c>
      <c r="W497" s="2" t="s">
        <v>254</v>
      </c>
      <c r="X497" s="2"/>
      <c r="Y497" s="2"/>
      <c r="Z497" s="2"/>
      <c r="AA497" s="2"/>
      <c r="AB497" s="2">
        <v>300000</v>
      </c>
      <c r="AC497" s="2"/>
      <c r="AD497" s="2"/>
      <c r="AE497" s="2"/>
      <c r="AF497" s="2"/>
      <c r="AG497" s="2"/>
      <c r="AH497" s="2"/>
      <c r="AI497" s="14"/>
      <c r="AJ497" s="140">
        <v>100</v>
      </c>
      <c r="AK497" s="135">
        <v>2021</v>
      </c>
      <c r="AL497" s="136"/>
      <c r="AM497" s="139"/>
    </row>
    <row r="498" spans="1:39" s="27" customFormat="1" ht="49.5">
      <c r="A498" s="34" t="s">
        <v>881</v>
      </c>
      <c r="B498" s="34"/>
      <c r="C498" s="72"/>
      <c r="D498" s="72"/>
      <c r="E498" s="120" t="s">
        <v>1469</v>
      </c>
      <c r="F498" s="120"/>
      <c r="G498" s="132" t="s">
        <v>203</v>
      </c>
      <c r="H498" s="132" t="s">
        <v>204</v>
      </c>
      <c r="I498" s="132" t="s">
        <v>205</v>
      </c>
      <c r="J498" s="133" t="s">
        <v>206</v>
      </c>
      <c r="K498" s="134" t="s">
        <v>1311</v>
      </c>
      <c r="L498" s="307">
        <f t="shared" si="74"/>
        <v>1800000</v>
      </c>
      <c r="M498" s="308"/>
      <c r="N498" s="308">
        <f>2000000-200000</f>
        <v>1800000</v>
      </c>
      <c r="O498" s="311"/>
      <c r="P498" s="311"/>
      <c r="Q498" s="311"/>
      <c r="R498" s="91"/>
      <c r="S498" s="68">
        <f t="shared" si="75"/>
        <v>0</v>
      </c>
      <c r="T498" s="43"/>
      <c r="U498" s="43">
        <f>2000000-200000</f>
        <v>1800000</v>
      </c>
      <c r="V498" s="10">
        <v>3</v>
      </c>
      <c r="W498" s="2" t="s">
        <v>273</v>
      </c>
      <c r="X498" s="2"/>
      <c r="Y498" s="2"/>
      <c r="Z498" s="2"/>
      <c r="AA498" s="2"/>
      <c r="AB498" s="2">
        <v>2000000</v>
      </c>
      <c r="AC498" s="2"/>
      <c r="AD498" s="2"/>
      <c r="AE498" s="2"/>
      <c r="AF498" s="2"/>
      <c r="AG498" s="2"/>
      <c r="AH498" s="2"/>
      <c r="AI498" s="14"/>
      <c r="AJ498" s="140">
        <v>100</v>
      </c>
      <c r="AK498" s="135">
        <v>2021</v>
      </c>
      <c r="AL498" s="136"/>
      <c r="AM498" s="139"/>
    </row>
    <row r="499" spans="1:39" s="66" customFormat="1" ht="49.5">
      <c r="A499" s="72" t="s">
        <v>881</v>
      </c>
      <c r="B499" s="72"/>
      <c r="C499" s="72"/>
      <c r="D499" s="72"/>
      <c r="E499" s="120" t="s">
        <v>1469</v>
      </c>
      <c r="F499" s="120"/>
      <c r="G499" s="132" t="s">
        <v>203</v>
      </c>
      <c r="H499" s="132" t="s">
        <v>204</v>
      </c>
      <c r="I499" s="132" t="s">
        <v>205</v>
      </c>
      <c r="J499" s="133" t="s">
        <v>206</v>
      </c>
      <c r="K499" s="134" t="s">
        <v>1312</v>
      </c>
      <c r="L499" s="307">
        <f t="shared" si="74"/>
        <v>1810000</v>
      </c>
      <c r="M499" s="308"/>
      <c r="N499" s="308">
        <f>2000000-190000</f>
        <v>1810000</v>
      </c>
      <c r="O499" s="311"/>
      <c r="P499" s="311"/>
      <c r="Q499" s="311"/>
      <c r="R499" s="91"/>
      <c r="S499" s="68">
        <f t="shared" si="75"/>
        <v>0</v>
      </c>
      <c r="T499" s="43"/>
      <c r="U499" s="43">
        <f>2000000-190000</f>
        <v>1810000</v>
      </c>
      <c r="V499" s="10">
        <v>3</v>
      </c>
      <c r="W499" s="68" t="s">
        <v>273</v>
      </c>
      <c r="X499" s="68"/>
      <c r="Y499" s="68"/>
      <c r="Z499" s="68"/>
      <c r="AA499" s="68"/>
      <c r="AB499" s="68">
        <v>2500000</v>
      </c>
      <c r="AC499" s="68"/>
      <c r="AD499" s="68"/>
      <c r="AE499" s="68"/>
      <c r="AF499" s="68"/>
      <c r="AG499" s="68"/>
      <c r="AH499" s="68"/>
      <c r="AI499" s="71"/>
      <c r="AJ499" s="140">
        <v>100</v>
      </c>
      <c r="AK499" s="135">
        <v>2021</v>
      </c>
      <c r="AL499" s="136"/>
      <c r="AM499" s="139"/>
    </row>
    <row r="500" spans="1:39" s="27" customFormat="1">
      <c r="A500" s="34" t="s">
        <v>881</v>
      </c>
      <c r="B500" s="34"/>
      <c r="C500" s="72"/>
      <c r="D500" s="72"/>
      <c r="E500" s="120" t="s">
        <v>1230</v>
      </c>
      <c r="F500" s="120"/>
      <c r="G500" s="132">
        <v>1014010</v>
      </c>
      <c r="H500" s="132">
        <v>4010</v>
      </c>
      <c r="I500" s="132" t="s">
        <v>371</v>
      </c>
      <c r="J500" s="133" t="s">
        <v>372</v>
      </c>
      <c r="K500" s="134" t="s">
        <v>373</v>
      </c>
      <c r="L500" s="307">
        <f t="shared" si="74"/>
        <v>300000</v>
      </c>
      <c r="M500" s="308"/>
      <c r="N500" s="308">
        <v>300000</v>
      </c>
      <c r="O500" s="311"/>
      <c r="P500" s="311"/>
      <c r="Q500" s="311"/>
      <c r="R500" s="91"/>
      <c r="S500" s="68">
        <f t="shared" si="75"/>
        <v>0</v>
      </c>
      <c r="T500" s="68"/>
      <c r="U500" s="68">
        <v>300000</v>
      </c>
      <c r="V500" s="10">
        <v>3</v>
      </c>
      <c r="W500" s="2" t="s">
        <v>254</v>
      </c>
      <c r="X500" s="2"/>
      <c r="Y500" s="2"/>
      <c r="Z500" s="2"/>
      <c r="AA500" s="2"/>
      <c r="AB500" s="2">
        <v>300000</v>
      </c>
      <c r="AC500" s="2"/>
      <c r="AD500" s="2"/>
      <c r="AE500" s="2"/>
      <c r="AF500" s="2"/>
      <c r="AG500" s="2"/>
      <c r="AH500" s="2"/>
      <c r="AI500" s="14"/>
      <c r="AJ500" s="140">
        <v>100</v>
      </c>
      <c r="AK500" s="135">
        <v>2021</v>
      </c>
      <c r="AL500" s="136"/>
      <c r="AM500" s="139"/>
    </row>
    <row r="501" spans="1:39" s="27" customFormat="1" ht="49.5">
      <c r="A501" s="34" t="s">
        <v>881</v>
      </c>
      <c r="B501" s="34"/>
      <c r="C501" s="72"/>
      <c r="D501" s="72"/>
      <c r="E501" s="120" t="s">
        <v>901</v>
      </c>
      <c r="F501" s="120"/>
      <c r="G501" s="132">
        <v>1014020</v>
      </c>
      <c r="H501" s="132">
        <v>4020</v>
      </c>
      <c r="I501" s="132" t="s">
        <v>357</v>
      </c>
      <c r="J501" s="133" t="s">
        <v>358</v>
      </c>
      <c r="K501" s="134" t="s">
        <v>359</v>
      </c>
      <c r="L501" s="307">
        <f t="shared" si="74"/>
        <v>113000</v>
      </c>
      <c r="M501" s="308"/>
      <c r="N501" s="308">
        <v>113000</v>
      </c>
      <c r="O501" s="311"/>
      <c r="P501" s="311"/>
      <c r="Q501" s="311"/>
      <c r="R501" s="91"/>
      <c r="S501" s="68">
        <f t="shared" si="75"/>
        <v>0</v>
      </c>
      <c r="T501" s="68"/>
      <c r="U501" s="68">
        <v>113000</v>
      </c>
      <c r="V501" s="10">
        <v>1</v>
      </c>
      <c r="W501" s="2" t="s">
        <v>254</v>
      </c>
      <c r="X501" s="2">
        <v>113000</v>
      </c>
      <c r="Y501" s="2"/>
      <c r="Z501" s="2"/>
      <c r="AA501" s="2"/>
      <c r="AB501" s="2"/>
      <c r="AC501" s="2"/>
      <c r="AD501" s="2"/>
      <c r="AE501" s="2"/>
      <c r="AF501" s="2"/>
      <c r="AG501" s="2"/>
      <c r="AH501" s="2"/>
      <c r="AI501" s="14"/>
      <c r="AJ501" s="140">
        <v>100</v>
      </c>
      <c r="AK501" s="135">
        <v>2021</v>
      </c>
      <c r="AL501" s="136"/>
      <c r="AM501" s="139"/>
    </row>
    <row r="502" spans="1:39" s="27" customFormat="1" ht="49.5">
      <c r="A502" s="34" t="s">
        <v>881</v>
      </c>
      <c r="B502" s="34"/>
      <c r="C502" s="72"/>
      <c r="D502" s="72"/>
      <c r="E502" s="120" t="s">
        <v>902</v>
      </c>
      <c r="F502" s="120"/>
      <c r="G502" s="132">
        <v>1014020</v>
      </c>
      <c r="H502" s="132">
        <v>4020</v>
      </c>
      <c r="I502" s="132" t="s">
        <v>357</v>
      </c>
      <c r="J502" s="133" t="s">
        <v>358</v>
      </c>
      <c r="K502" s="134" t="s">
        <v>370</v>
      </c>
      <c r="L502" s="307">
        <f t="shared" si="74"/>
        <v>100000</v>
      </c>
      <c r="M502" s="308"/>
      <c r="N502" s="308">
        <v>100000</v>
      </c>
      <c r="O502" s="311"/>
      <c r="P502" s="311"/>
      <c r="Q502" s="311"/>
      <c r="R502" s="91"/>
      <c r="S502" s="68">
        <f t="shared" si="75"/>
        <v>0</v>
      </c>
      <c r="T502" s="68"/>
      <c r="U502" s="68">
        <v>100000</v>
      </c>
      <c r="V502" s="10">
        <v>3</v>
      </c>
      <c r="W502" s="2" t="s">
        <v>254</v>
      </c>
      <c r="X502" s="2"/>
      <c r="Y502" s="2"/>
      <c r="Z502" s="2"/>
      <c r="AA502" s="2"/>
      <c r="AB502" s="2">
        <v>100000</v>
      </c>
      <c r="AC502" s="2"/>
      <c r="AD502" s="2"/>
      <c r="AE502" s="2"/>
      <c r="AF502" s="2"/>
      <c r="AG502" s="2"/>
      <c r="AH502" s="2"/>
      <c r="AI502" s="14"/>
      <c r="AJ502" s="140">
        <v>100</v>
      </c>
      <c r="AK502" s="135">
        <v>2021</v>
      </c>
      <c r="AL502" s="136"/>
      <c r="AM502" s="139"/>
    </row>
    <row r="503" spans="1:39" s="27" customFormat="1" ht="115.5">
      <c r="A503" s="34" t="s">
        <v>881</v>
      </c>
      <c r="B503" s="34"/>
      <c r="C503" s="72"/>
      <c r="D503" s="72"/>
      <c r="E503" s="120" t="s">
        <v>1230</v>
      </c>
      <c r="F503" s="120"/>
      <c r="G503" s="132">
        <v>1014030</v>
      </c>
      <c r="H503" s="132">
        <v>4030</v>
      </c>
      <c r="I503" s="132" t="s">
        <v>355</v>
      </c>
      <c r="J503" s="133" t="s">
        <v>356</v>
      </c>
      <c r="K503" s="134" t="s">
        <v>1313</v>
      </c>
      <c r="L503" s="307">
        <f t="shared" si="74"/>
        <v>1400000</v>
      </c>
      <c r="M503" s="308"/>
      <c r="N503" s="308">
        <v>1400000</v>
      </c>
      <c r="O503" s="311"/>
      <c r="P503" s="311"/>
      <c r="Q503" s="311"/>
      <c r="R503" s="91"/>
      <c r="S503" s="68">
        <f t="shared" si="75"/>
        <v>0</v>
      </c>
      <c r="T503" s="68"/>
      <c r="U503" s="68">
        <v>1400000</v>
      </c>
      <c r="V503" s="10">
        <v>1.3</v>
      </c>
      <c r="W503" s="2" t="s">
        <v>273</v>
      </c>
      <c r="X503" s="2">
        <v>395940</v>
      </c>
      <c r="Y503" s="2"/>
      <c r="Z503" s="2"/>
      <c r="AA503" s="2"/>
      <c r="AB503" s="2">
        <f>N503-X503</f>
        <v>1004060</v>
      </c>
      <c r="AC503" s="2"/>
      <c r="AD503" s="2"/>
      <c r="AE503" s="2"/>
      <c r="AF503" s="2"/>
      <c r="AG503" s="2"/>
      <c r="AH503" s="2"/>
      <c r="AI503" s="14"/>
      <c r="AJ503" s="140">
        <v>100</v>
      </c>
      <c r="AK503" s="135">
        <v>2021</v>
      </c>
      <c r="AL503" s="136"/>
      <c r="AM503" s="139"/>
    </row>
    <row r="504" spans="1:39" s="27" customFormat="1" ht="115.5">
      <c r="A504" s="34" t="s">
        <v>881</v>
      </c>
      <c r="B504" s="34"/>
      <c r="C504" s="72"/>
      <c r="D504" s="72"/>
      <c r="E504" s="120" t="s">
        <v>1230</v>
      </c>
      <c r="F504" s="120"/>
      <c r="G504" s="132">
        <v>1014030</v>
      </c>
      <c r="H504" s="132">
        <v>4030</v>
      </c>
      <c r="I504" s="132" t="s">
        <v>355</v>
      </c>
      <c r="J504" s="133" t="s">
        <v>356</v>
      </c>
      <c r="K504" s="134" t="s">
        <v>1314</v>
      </c>
      <c r="L504" s="307">
        <f t="shared" si="74"/>
        <v>1200000</v>
      </c>
      <c r="M504" s="308"/>
      <c r="N504" s="308">
        <v>1200000</v>
      </c>
      <c r="O504" s="311"/>
      <c r="P504" s="311"/>
      <c r="Q504" s="311"/>
      <c r="R504" s="91"/>
      <c r="S504" s="68">
        <f t="shared" si="75"/>
        <v>0</v>
      </c>
      <c r="T504" s="68"/>
      <c r="U504" s="68">
        <v>1200000</v>
      </c>
      <c r="V504" s="10">
        <v>3</v>
      </c>
      <c r="W504" s="2" t="s">
        <v>254</v>
      </c>
      <c r="X504" s="2"/>
      <c r="Y504" s="2"/>
      <c r="Z504" s="2"/>
      <c r="AA504" s="2"/>
      <c r="AB504" s="2">
        <v>1200000</v>
      </c>
      <c r="AC504" s="2"/>
      <c r="AD504" s="2"/>
      <c r="AE504" s="2"/>
      <c r="AF504" s="2"/>
      <c r="AG504" s="2"/>
      <c r="AH504" s="2"/>
      <c r="AI504" s="14"/>
      <c r="AJ504" s="140">
        <v>100</v>
      </c>
      <c r="AK504" s="135">
        <v>2021</v>
      </c>
      <c r="AL504" s="136"/>
      <c r="AM504" s="139"/>
    </row>
    <row r="505" spans="1:39" s="27" customFormat="1" ht="115.5">
      <c r="A505" s="34" t="s">
        <v>881</v>
      </c>
      <c r="B505" s="34"/>
      <c r="C505" s="72"/>
      <c r="D505" s="72"/>
      <c r="E505" s="120" t="s">
        <v>1230</v>
      </c>
      <c r="F505" s="120"/>
      <c r="G505" s="132">
        <v>1014030</v>
      </c>
      <c r="H505" s="132">
        <v>4030</v>
      </c>
      <c r="I505" s="132" t="s">
        <v>355</v>
      </c>
      <c r="J505" s="133" t="s">
        <v>356</v>
      </c>
      <c r="K505" s="134" t="s">
        <v>1315</v>
      </c>
      <c r="L505" s="307">
        <f t="shared" si="74"/>
        <v>200000</v>
      </c>
      <c r="M505" s="308"/>
      <c r="N505" s="308">
        <v>200000</v>
      </c>
      <c r="O505" s="311"/>
      <c r="P505" s="311"/>
      <c r="Q505" s="311"/>
      <c r="R505" s="91"/>
      <c r="S505" s="68">
        <f t="shared" si="75"/>
        <v>0</v>
      </c>
      <c r="T505" s="68"/>
      <c r="U505" s="68">
        <v>200000</v>
      </c>
      <c r="V505" s="10">
        <v>3</v>
      </c>
      <c r="W505" s="2" t="s">
        <v>254</v>
      </c>
      <c r="X505" s="2"/>
      <c r="Y505" s="2"/>
      <c r="Z505" s="2"/>
      <c r="AA505" s="2"/>
      <c r="AB505" s="2">
        <v>200000</v>
      </c>
      <c r="AC505" s="2"/>
      <c r="AD505" s="2"/>
      <c r="AE505" s="2"/>
      <c r="AF505" s="2"/>
      <c r="AG505" s="2"/>
      <c r="AH505" s="2"/>
      <c r="AI505" s="14"/>
      <c r="AJ505" s="140">
        <v>100</v>
      </c>
      <c r="AK505" s="135">
        <v>2021</v>
      </c>
      <c r="AL505" s="136"/>
      <c r="AM505" s="139"/>
    </row>
    <row r="506" spans="1:39" s="27" customFormat="1" ht="49.5">
      <c r="A506" s="34" t="s">
        <v>881</v>
      </c>
      <c r="B506" s="34"/>
      <c r="C506" s="72"/>
      <c r="D506" s="72"/>
      <c r="E506" s="120" t="s">
        <v>901</v>
      </c>
      <c r="F506" s="120"/>
      <c r="G506" s="132">
        <v>1014040</v>
      </c>
      <c r="H506" s="132">
        <v>4040</v>
      </c>
      <c r="I506" s="132" t="s">
        <v>355</v>
      </c>
      <c r="J506" s="133" t="s">
        <v>360</v>
      </c>
      <c r="K506" s="134" t="s">
        <v>361</v>
      </c>
      <c r="L506" s="307">
        <f t="shared" si="74"/>
        <v>120000</v>
      </c>
      <c r="M506" s="308"/>
      <c r="N506" s="308">
        <v>120000</v>
      </c>
      <c r="O506" s="311"/>
      <c r="P506" s="311"/>
      <c r="Q506" s="311"/>
      <c r="R506" s="91"/>
      <c r="S506" s="68">
        <f t="shared" si="75"/>
        <v>0</v>
      </c>
      <c r="T506" s="68"/>
      <c r="U506" s="68">
        <v>120000</v>
      </c>
      <c r="V506" s="10">
        <v>1.3</v>
      </c>
      <c r="W506" s="2" t="s">
        <v>254</v>
      </c>
      <c r="X506" s="2">
        <v>58700</v>
      </c>
      <c r="Y506" s="2"/>
      <c r="Z506" s="2"/>
      <c r="AA506" s="2"/>
      <c r="AB506" s="2">
        <f>N506-X506</f>
        <v>61300</v>
      </c>
      <c r="AC506" s="2"/>
      <c r="AD506" s="2"/>
      <c r="AE506" s="2"/>
      <c r="AF506" s="2"/>
      <c r="AG506" s="2"/>
      <c r="AH506" s="2"/>
      <c r="AI506" s="14"/>
      <c r="AJ506" s="140">
        <v>100</v>
      </c>
      <c r="AK506" s="135">
        <v>2021</v>
      </c>
      <c r="AL506" s="136"/>
      <c r="AM506" s="139"/>
    </row>
    <row r="507" spans="1:39" s="27" customFormat="1" ht="49.5">
      <c r="A507" s="34" t="s">
        <v>881</v>
      </c>
      <c r="B507" s="34"/>
      <c r="C507" s="72"/>
      <c r="D507" s="72"/>
      <c r="E507" s="120" t="s">
        <v>903</v>
      </c>
      <c r="F507" s="120"/>
      <c r="G507" s="132">
        <v>1014040</v>
      </c>
      <c r="H507" s="132">
        <v>4040</v>
      </c>
      <c r="I507" s="132" t="s">
        <v>355</v>
      </c>
      <c r="J507" s="133" t="s">
        <v>360</v>
      </c>
      <c r="K507" s="134" t="s">
        <v>362</v>
      </c>
      <c r="L507" s="307">
        <f t="shared" si="74"/>
        <v>700000</v>
      </c>
      <c r="M507" s="308"/>
      <c r="N507" s="308">
        <v>700000</v>
      </c>
      <c r="O507" s="311"/>
      <c r="P507" s="311"/>
      <c r="Q507" s="311"/>
      <c r="R507" s="91"/>
      <c r="S507" s="68">
        <f t="shared" si="75"/>
        <v>0</v>
      </c>
      <c r="T507" s="68"/>
      <c r="U507" s="68">
        <v>700000</v>
      </c>
      <c r="V507" s="10">
        <v>1.3</v>
      </c>
      <c r="W507" s="2" t="s">
        <v>254</v>
      </c>
      <c r="X507" s="2">
        <v>364208.24</v>
      </c>
      <c r="Y507" s="2"/>
      <c r="Z507" s="2"/>
      <c r="AA507" s="2"/>
      <c r="AB507" s="2">
        <f>N507-X507</f>
        <v>335791.76</v>
      </c>
      <c r="AC507" s="2"/>
      <c r="AD507" s="2"/>
      <c r="AE507" s="2"/>
      <c r="AF507" s="2"/>
      <c r="AG507" s="2"/>
      <c r="AH507" s="2"/>
      <c r="AI507" s="14"/>
      <c r="AJ507" s="140">
        <v>100</v>
      </c>
      <c r="AK507" s="135">
        <v>2021</v>
      </c>
      <c r="AL507" s="136"/>
      <c r="AM507" s="139"/>
    </row>
    <row r="508" spans="1:39" s="27" customFormat="1" ht="33">
      <c r="A508" s="34" t="s">
        <v>881</v>
      </c>
      <c r="B508" s="34"/>
      <c r="C508" s="72"/>
      <c r="D508" s="72"/>
      <c r="E508" s="120" t="s">
        <v>901</v>
      </c>
      <c r="F508" s="120"/>
      <c r="G508" s="132">
        <v>1014040</v>
      </c>
      <c r="H508" s="132">
        <v>4040</v>
      </c>
      <c r="I508" s="132" t="s">
        <v>355</v>
      </c>
      <c r="J508" s="133" t="s">
        <v>360</v>
      </c>
      <c r="K508" s="134" t="s">
        <v>363</v>
      </c>
      <c r="L508" s="307">
        <f t="shared" si="74"/>
        <v>12300</v>
      </c>
      <c r="M508" s="308"/>
      <c r="N508" s="308">
        <v>12300</v>
      </c>
      <c r="O508" s="311"/>
      <c r="P508" s="311"/>
      <c r="Q508" s="311"/>
      <c r="R508" s="91"/>
      <c r="S508" s="68">
        <f t="shared" si="75"/>
        <v>0</v>
      </c>
      <c r="T508" s="68"/>
      <c r="U508" s="68">
        <v>12300</v>
      </c>
      <c r="V508" s="10">
        <v>1</v>
      </c>
      <c r="W508" s="2" t="s">
        <v>254</v>
      </c>
      <c r="X508" s="2">
        <v>12300</v>
      </c>
      <c r="Y508" s="2"/>
      <c r="Z508" s="2"/>
      <c r="AA508" s="2"/>
      <c r="AB508" s="2"/>
      <c r="AC508" s="2"/>
      <c r="AD508" s="2"/>
      <c r="AE508" s="2"/>
      <c r="AF508" s="2"/>
      <c r="AG508" s="2"/>
      <c r="AH508" s="2"/>
      <c r="AI508" s="14"/>
      <c r="AJ508" s="140">
        <v>100</v>
      </c>
      <c r="AK508" s="135">
        <v>2021</v>
      </c>
      <c r="AL508" s="136"/>
      <c r="AM508" s="139"/>
    </row>
    <row r="509" spans="1:39" s="27" customFormat="1" ht="115.5">
      <c r="A509" s="34" t="s">
        <v>881</v>
      </c>
      <c r="B509" s="34"/>
      <c r="C509" s="72"/>
      <c r="D509" s="72"/>
      <c r="E509" s="120" t="s">
        <v>1230</v>
      </c>
      <c r="F509" s="120"/>
      <c r="G509" s="132">
        <v>1014060</v>
      </c>
      <c r="H509" s="132">
        <v>4060</v>
      </c>
      <c r="I509" s="132" t="s">
        <v>213</v>
      </c>
      <c r="J509" s="133" t="s">
        <v>214</v>
      </c>
      <c r="K509" s="134" t="s">
        <v>1316</v>
      </c>
      <c r="L509" s="307">
        <f t="shared" si="74"/>
        <v>1073334</v>
      </c>
      <c r="M509" s="308"/>
      <c r="N509" s="308">
        <v>1073334</v>
      </c>
      <c r="O509" s="311"/>
      <c r="P509" s="311"/>
      <c r="Q509" s="311"/>
      <c r="R509" s="91"/>
      <c r="S509" s="68">
        <f t="shared" si="75"/>
        <v>0</v>
      </c>
      <c r="T509" s="68"/>
      <c r="U509" s="68">
        <v>1073334</v>
      </c>
      <c r="V509" s="10">
        <v>3</v>
      </c>
      <c r="W509" s="2" t="s">
        <v>254</v>
      </c>
      <c r="X509" s="2"/>
      <c r="Y509" s="2"/>
      <c r="Z509" s="2"/>
      <c r="AA509" s="2"/>
      <c r="AB509" s="2">
        <v>1073334</v>
      </c>
      <c r="AC509" s="2"/>
      <c r="AD509" s="2"/>
      <c r="AE509" s="2"/>
      <c r="AF509" s="2"/>
      <c r="AG509" s="2"/>
      <c r="AH509" s="2"/>
      <c r="AI509" s="14"/>
      <c r="AJ509" s="140">
        <v>100</v>
      </c>
      <c r="AK509" s="135">
        <v>2021</v>
      </c>
      <c r="AL509" s="136"/>
      <c r="AM509" s="139"/>
    </row>
    <row r="510" spans="1:39" s="27" customFormat="1" ht="49.5">
      <c r="A510" s="34" t="s">
        <v>881</v>
      </c>
      <c r="B510" s="34"/>
      <c r="C510" s="72"/>
      <c r="D510" s="72"/>
      <c r="E510" s="120" t="s">
        <v>905</v>
      </c>
      <c r="F510" s="120"/>
      <c r="G510" s="132">
        <v>1014060</v>
      </c>
      <c r="H510" s="132">
        <v>4060</v>
      </c>
      <c r="I510" s="132" t="s">
        <v>213</v>
      </c>
      <c r="J510" s="133" t="s">
        <v>214</v>
      </c>
      <c r="K510" s="134" t="s">
        <v>381</v>
      </c>
      <c r="L510" s="307">
        <f t="shared" si="74"/>
        <v>100000</v>
      </c>
      <c r="M510" s="308"/>
      <c r="N510" s="308">
        <v>100000</v>
      </c>
      <c r="O510" s="311"/>
      <c r="P510" s="311"/>
      <c r="Q510" s="311"/>
      <c r="R510" s="91"/>
      <c r="S510" s="68">
        <f t="shared" si="75"/>
        <v>0</v>
      </c>
      <c r="T510" s="68"/>
      <c r="U510" s="68">
        <v>100000</v>
      </c>
      <c r="V510" s="10">
        <v>3</v>
      </c>
      <c r="W510" s="2" t="s">
        <v>254</v>
      </c>
      <c r="X510" s="2"/>
      <c r="Y510" s="2"/>
      <c r="Z510" s="2"/>
      <c r="AA510" s="2"/>
      <c r="AB510" s="2">
        <v>100000</v>
      </c>
      <c r="AC510" s="2"/>
      <c r="AD510" s="2"/>
      <c r="AE510" s="2"/>
      <c r="AF510" s="2"/>
      <c r="AG510" s="2"/>
      <c r="AH510" s="2"/>
      <c r="AI510" s="14"/>
      <c r="AJ510" s="140">
        <v>100</v>
      </c>
      <c r="AK510" s="135">
        <v>2021</v>
      </c>
      <c r="AL510" s="136"/>
      <c r="AM510" s="139"/>
    </row>
    <row r="511" spans="1:39" s="27" customFormat="1" ht="33">
      <c r="A511" s="34" t="s">
        <v>881</v>
      </c>
      <c r="B511" s="34"/>
      <c r="C511" s="72"/>
      <c r="D511" s="72"/>
      <c r="E511" s="120" t="s">
        <v>905</v>
      </c>
      <c r="F511" s="120"/>
      <c r="G511" s="132">
        <v>1017324</v>
      </c>
      <c r="H511" s="132">
        <v>7324</v>
      </c>
      <c r="I511" s="132" t="s">
        <v>108</v>
      </c>
      <c r="J511" s="133" t="s">
        <v>218</v>
      </c>
      <c r="K511" s="134" t="s">
        <v>701</v>
      </c>
      <c r="L511" s="307">
        <f t="shared" si="74"/>
        <v>1800000</v>
      </c>
      <c r="M511" s="308"/>
      <c r="N511" s="308">
        <f>400000-100000+1500000</f>
        <v>1800000</v>
      </c>
      <c r="O511" s="311"/>
      <c r="P511" s="311"/>
      <c r="Q511" s="311"/>
      <c r="R511" s="91"/>
      <c r="S511" s="68">
        <f t="shared" si="75"/>
        <v>0</v>
      </c>
      <c r="T511" s="43"/>
      <c r="U511" s="43">
        <f>400000-100000+1500000</f>
        <v>1800000</v>
      </c>
      <c r="V511" s="10">
        <v>2</v>
      </c>
      <c r="W511" s="68" t="s">
        <v>273</v>
      </c>
      <c r="X511" s="68"/>
      <c r="Y511" s="68">
        <v>400000</v>
      </c>
      <c r="Z511" s="68"/>
      <c r="AA511" s="68"/>
      <c r="AB511" s="68"/>
      <c r="AC511" s="68"/>
      <c r="AD511" s="68"/>
      <c r="AE511" s="68"/>
      <c r="AF511" s="68"/>
      <c r="AG511" s="68"/>
      <c r="AH511" s="68"/>
      <c r="AI511" s="71"/>
      <c r="AJ511" s="140">
        <v>19</v>
      </c>
      <c r="AK511" s="135" t="s">
        <v>353</v>
      </c>
      <c r="AL511" s="136">
        <v>12007436</v>
      </c>
      <c r="AM511" s="139">
        <v>4.0967114044996782</v>
      </c>
    </row>
    <row r="512" spans="1:39" s="66" customFormat="1" ht="49.5">
      <c r="A512" s="72" t="s">
        <v>881</v>
      </c>
      <c r="B512" s="72"/>
      <c r="C512" s="72"/>
      <c r="D512" s="72"/>
      <c r="E512" s="120" t="s">
        <v>901</v>
      </c>
      <c r="F512" s="120"/>
      <c r="G512" s="132">
        <v>1017324</v>
      </c>
      <c r="H512" s="132">
        <v>7324</v>
      </c>
      <c r="I512" s="132" t="s">
        <v>108</v>
      </c>
      <c r="J512" s="133" t="s">
        <v>218</v>
      </c>
      <c r="K512" s="134" t="s">
        <v>1180</v>
      </c>
      <c r="L512" s="307">
        <f t="shared" si="74"/>
        <v>600000</v>
      </c>
      <c r="M512" s="308"/>
      <c r="N512" s="308">
        <f>100000+500000</f>
        <v>600000</v>
      </c>
      <c r="O512" s="312"/>
      <c r="P512" s="312"/>
      <c r="Q512" s="312"/>
      <c r="R512" s="167"/>
      <c r="S512" s="68">
        <f t="shared" si="75"/>
        <v>500000</v>
      </c>
      <c r="T512" s="43"/>
      <c r="U512" s="43">
        <v>100000</v>
      </c>
      <c r="V512" s="10">
        <v>3</v>
      </c>
      <c r="W512" s="68"/>
      <c r="X512" s="68"/>
      <c r="Y512" s="68"/>
      <c r="Z512" s="68"/>
      <c r="AA512" s="68"/>
      <c r="AB512" s="68"/>
      <c r="AC512" s="68"/>
      <c r="AD512" s="68"/>
      <c r="AE512" s="68"/>
      <c r="AF512" s="68"/>
      <c r="AG512" s="68"/>
      <c r="AH512" s="68"/>
      <c r="AI512" s="71"/>
      <c r="AJ512" s="140">
        <v>12</v>
      </c>
      <c r="AK512" s="135">
        <v>2021</v>
      </c>
      <c r="AL512" s="136">
        <v>5000000</v>
      </c>
      <c r="AM512" s="139"/>
    </row>
    <row r="513" spans="1:39" s="66" customFormat="1" ht="49.5">
      <c r="A513" s="72" t="s">
        <v>881</v>
      </c>
      <c r="B513" s="72"/>
      <c r="C513" s="72"/>
      <c r="D513" s="72"/>
      <c r="E513" s="120" t="s">
        <v>901</v>
      </c>
      <c r="F513" s="120"/>
      <c r="G513" s="132">
        <v>1017324</v>
      </c>
      <c r="H513" s="132">
        <v>7324</v>
      </c>
      <c r="I513" s="132" t="s">
        <v>108</v>
      </c>
      <c r="J513" s="133" t="s">
        <v>218</v>
      </c>
      <c r="K513" s="134" t="s">
        <v>1176</v>
      </c>
      <c r="L513" s="307">
        <f t="shared" si="74"/>
        <v>6100000</v>
      </c>
      <c r="M513" s="308"/>
      <c r="N513" s="308">
        <f>100000+6000000</f>
        <v>6100000</v>
      </c>
      <c r="O513" s="312"/>
      <c r="P513" s="312"/>
      <c r="Q513" s="312"/>
      <c r="R513" s="167"/>
      <c r="S513" s="68">
        <f t="shared" si="75"/>
        <v>6000000</v>
      </c>
      <c r="T513" s="43"/>
      <c r="U513" s="43">
        <v>100000</v>
      </c>
      <c r="V513" s="10">
        <v>3</v>
      </c>
      <c r="W513" s="68"/>
      <c r="X513" s="68"/>
      <c r="Y513" s="68"/>
      <c r="Z513" s="68"/>
      <c r="AA513" s="68"/>
      <c r="AB513" s="68"/>
      <c r="AC513" s="68"/>
      <c r="AD513" s="68"/>
      <c r="AE513" s="68"/>
      <c r="AF513" s="68"/>
      <c r="AG513" s="68"/>
      <c r="AH513" s="68"/>
      <c r="AI513" s="71"/>
      <c r="AJ513" s="140">
        <v>46</v>
      </c>
      <c r="AK513" s="135" t="s">
        <v>271</v>
      </c>
      <c r="AL513" s="136">
        <v>13158573</v>
      </c>
      <c r="AM513" s="139"/>
    </row>
    <row r="514" spans="1:39" s="66" customFormat="1" ht="33">
      <c r="A514" s="72" t="s">
        <v>881</v>
      </c>
      <c r="B514" s="72"/>
      <c r="C514" s="72"/>
      <c r="D514" s="72"/>
      <c r="E514" s="120" t="s">
        <v>901</v>
      </c>
      <c r="F514" s="120"/>
      <c r="G514" s="132">
        <v>1017324</v>
      </c>
      <c r="H514" s="132">
        <v>7324</v>
      </c>
      <c r="I514" s="132" t="s">
        <v>108</v>
      </c>
      <c r="J514" s="133" t="s">
        <v>218</v>
      </c>
      <c r="K514" s="134" t="s">
        <v>1177</v>
      </c>
      <c r="L514" s="307">
        <f t="shared" si="74"/>
        <v>1100000</v>
      </c>
      <c r="M514" s="308"/>
      <c r="N514" s="308">
        <f>100000+1000000</f>
        <v>1100000</v>
      </c>
      <c r="O514" s="312"/>
      <c r="P514" s="312"/>
      <c r="Q514" s="312"/>
      <c r="R514" s="167"/>
      <c r="S514" s="68">
        <f t="shared" si="75"/>
        <v>1000000</v>
      </c>
      <c r="T514" s="43"/>
      <c r="U514" s="43">
        <v>100000</v>
      </c>
      <c r="V514" s="10">
        <v>3</v>
      </c>
      <c r="W514" s="68"/>
      <c r="X514" s="68"/>
      <c r="Y514" s="68"/>
      <c r="Z514" s="68"/>
      <c r="AA514" s="68"/>
      <c r="AB514" s="68"/>
      <c r="AC514" s="68"/>
      <c r="AD514" s="68"/>
      <c r="AE514" s="68"/>
      <c r="AF514" s="68"/>
      <c r="AG514" s="68"/>
      <c r="AH514" s="68"/>
      <c r="AI514" s="71"/>
      <c r="AJ514" s="140">
        <v>100</v>
      </c>
      <c r="AK514" s="135">
        <v>2021</v>
      </c>
      <c r="AL514" s="136">
        <v>1100000</v>
      </c>
      <c r="AM514" s="139"/>
    </row>
    <row r="515" spans="1:39" s="66" customFormat="1" ht="49.5">
      <c r="A515" s="72" t="s">
        <v>881</v>
      </c>
      <c r="B515" s="72"/>
      <c r="C515" s="72"/>
      <c r="D515" s="72"/>
      <c r="E515" s="120" t="s">
        <v>903</v>
      </c>
      <c r="F515" s="120"/>
      <c r="G515" s="132">
        <v>1017324</v>
      </c>
      <c r="H515" s="132">
        <v>7324</v>
      </c>
      <c r="I515" s="132" t="s">
        <v>108</v>
      </c>
      <c r="J515" s="133" t="s">
        <v>218</v>
      </c>
      <c r="K515" s="134" t="s">
        <v>1317</v>
      </c>
      <c r="L515" s="307">
        <f t="shared" si="74"/>
        <v>100000</v>
      </c>
      <c r="M515" s="308"/>
      <c r="N515" s="308">
        <v>100000</v>
      </c>
      <c r="O515" s="312"/>
      <c r="P515" s="312"/>
      <c r="Q515" s="312"/>
      <c r="R515" s="167"/>
      <c r="S515" s="68">
        <f t="shared" si="75"/>
        <v>0</v>
      </c>
      <c r="T515" s="43"/>
      <c r="U515" s="43">
        <v>100000</v>
      </c>
      <c r="V515" s="10">
        <v>3</v>
      </c>
      <c r="W515" s="68"/>
      <c r="X515" s="68"/>
      <c r="Y515" s="68"/>
      <c r="Z515" s="68"/>
      <c r="AA515" s="68"/>
      <c r="AB515" s="68"/>
      <c r="AC515" s="68"/>
      <c r="AD515" s="68"/>
      <c r="AE515" s="68"/>
      <c r="AF515" s="68"/>
      <c r="AG515" s="68"/>
      <c r="AH515" s="68"/>
      <c r="AI515" s="71"/>
      <c r="AJ515" s="140">
        <v>4</v>
      </c>
      <c r="AK515" s="135">
        <v>2021</v>
      </c>
      <c r="AL515" s="136">
        <v>2500000</v>
      </c>
      <c r="AM515" s="139"/>
    </row>
    <row r="516" spans="1:39" s="27" customFormat="1" ht="33">
      <c r="A516" s="34" t="s">
        <v>881</v>
      </c>
      <c r="B516" s="34"/>
      <c r="C516" s="72"/>
      <c r="D516" s="72"/>
      <c r="E516" s="120" t="s">
        <v>905</v>
      </c>
      <c r="F516" s="120"/>
      <c r="G516" s="132">
        <v>1017324</v>
      </c>
      <c r="H516" s="132">
        <v>7324</v>
      </c>
      <c r="I516" s="132" t="s">
        <v>108</v>
      </c>
      <c r="J516" s="133" t="s">
        <v>218</v>
      </c>
      <c r="K516" s="134" t="s">
        <v>374</v>
      </c>
      <c r="L516" s="307">
        <f t="shared" si="74"/>
        <v>1020494</v>
      </c>
      <c r="M516" s="308"/>
      <c r="N516" s="308">
        <v>1020494</v>
      </c>
      <c r="O516" s="312"/>
      <c r="P516" s="312"/>
      <c r="Q516" s="312"/>
      <c r="R516" s="167"/>
      <c r="S516" s="68">
        <f t="shared" si="75"/>
        <v>0</v>
      </c>
      <c r="T516" s="68"/>
      <c r="U516" s="68">
        <v>1020494</v>
      </c>
      <c r="V516" s="10">
        <v>1</v>
      </c>
      <c r="W516" s="2" t="s">
        <v>273</v>
      </c>
      <c r="X516" s="2">
        <v>1020494</v>
      </c>
      <c r="Y516" s="2"/>
      <c r="Z516" s="2"/>
      <c r="AA516" s="2"/>
      <c r="AB516" s="2"/>
      <c r="AC516" s="2"/>
      <c r="AD516" s="2"/>
      <c r="AE516" s="2"/>
      <c r="AF516" s="2"/>
      <c r="AG516" s="2"/>
      <c r="AH516" s="2"/>
      <c r="AI516" s="14"/>
      <c r="AJ516" s="140">
        <v>100</v>
      </c>
      <c r="AK516" s="135" t="s">
        <v>346</v>
      </c>
      <c r="AL516" s="136">
        <v>3560230</v>
      </c>
      <c r="AM516" s="139">
        <v>71</v>
      </c>
    </row>
    <row r="517" spans="1:39" s="27" customFormat="1" ht="49.5">
      <c r="A517" s="34" t="s">
        <v>881</v>
      </c>
      <c r="B517" s="34"/>
      <c r="C517" s="72"/>
      <c r="D517" s="72"/>
      <c r="E517" s="120" t="s">
        <v>905</v>
      </c>
      <c r="F517" s="120"/>
      <c r="G517" s="132">
        <v>1017324</v>
      </c>
      <c r="H517" s="132">
        <v>7324</v>
      </c>
      <c r="I517" s="132" t="s">
        <v>108</v>
      </c>
      <c r="J517" s="133" t="s">
        <v>218</v>
      </c>
      <c r="K517" s="134" t="s">
        <v>711</v>
      </c>
      <c r="L517" s="307">
        <f t="shared" si="74"/>
        <v>97517</v>
      </c>
      <c r="M517" s="308"/>
      <c r="N517" s="308">
        <v>97517</v>
      </c>
      <c r="O517" s="312"/>
      <c r="P517" s="312"/>
      <c r="Q517" s="312"/>
      <c r="R517" s="167"/>
      <c r="S517" s="68">
        <f t="shared" si="75"/>
        <v>0</v>
      </c>
      <c r="T517" s="68"/>
      <c r="U517" s="68">
        <v>97517</v>
      </c>
      <c r="V517" s="10">
        <v>1</v>
      </c>
      <c r="W517" s="2" t="s">
        <v>273</v>
      </c>
      <c r="X517" s="2">
        <v>97517</v>
      </c>
      <c r="Y517" s="2"/>
      <c r="Z517" s="2"/>
      <c r="AA517" s="2"/>
      <c r="AB517" s="2"/>
      <c r="AC517" s="2"/>
      <c r="AD517" s="2"/>
      <c r="AE517" s="2"/>
      <c r="AF517" s="2"/>
      <c r="AG517" s="2"/>
      <c r="AH517" s="2"/>
      <c r="AI517" s="14"/>
      <c r="AJ517" s="140">
        <v>100</v>
      </c>
      <c r="AK517" s="135" t="s">
        <v>255</v>
      </c>
      <c r="AL517" s="136">
        <v>1380100</v>
      </c>
      <c r="AM517" s="139">
        <v>92.88238895732195</v>
      </c>
    </row>
    <row r="518" spans="1:39" s="27" customFormat="1" ht="33">
      <c r="A518" s="34" t="s">
        <v>881</v>
      </c>
      <c r="B518" s="34"/>
      <c r="C518" s="72"/>
      <c r="D518" s="72"/>
      <c r="E518" s="120" t="s">
        <v>906</v>
      </c>
      <c r="F518" s="120"/>
      <c r="G518" s="132">
        <v>1017324</v>
      </c>
      <c r="H518" s="132">
        <v>7324</v>
      </c>
      <c r="I518" s="132" t="s">
        <v>108</v>
      </c>
      <c r="J518" s="133" t="s">
        <v>218</v>
      </c>
      <c r="K518" s="134" t="s">
        <v>375</v>
      </c>
      <c r="L518" s="307">
        <f t="shared" si="74"/>
        <v>122110</v>
      </c>
      <c r="M518" s="308"/>
      <c r="N518" s="308">
        <v>122110</v>
      </c>
      <c r="O518" s="312"/>
      <c r="P518" s="312"/>
      <c r="Q518" s="312"/>
      <c r="R518" s="167"/>
      <c r="S518" s="68">
        <f t="shared" si="75"/>
        <v>0</v>
      </c>
      <c r="T518" s="68"/>
      <c r="U518" s="68">
        <v>122110</v>
      </c>
      <c r="V518" s="10">
        <v>1.2</v>
      </c>
      <c r="W518" s="2" t="s">
        <v>273</v>
      </c>
      <c r="X518" s="2">
        <v>98109.29</v>
      </c>
      <c r="Y518" s="2">
        <v>24000.71</v>
      </c>
      <c r="Z518" s="2"/>
      <c r="AA518" s="2"/>
      <c r="AB518" s="2"/>
      <c r="AC518" s="2"/>
      <c r="AD518" s="2"/>
      <c r="AE518" s="2"/>
      <c r="AF518" s="2"/>
      <c r="AG518" s="2"/>
      <c r="AH518" s="2"/>
      <c r="AI518" s="14"/>
      <c r="AJ518" s="140">
        <v>100.14657285189851</v>
      </c>
      <c r="AK518" s="135" t="s">
        <v>255</v>
      </c>
      <c r="AL518" s="136">
        <v>16374110</v>
      </c>
      <c r="AM518" s="139">
        <v>99.400822395843193</v>
      </c>
    </row>
    <row r="519" spans="1:39" s="27" customFormat="1" ht="49.5">
      <c r="A519" s="34" t="s">
        <v>881</v>
      </c>
      <c r="B519" s="34"/>
      <c r="C519" s="72"/>
      <c r="D519" s="72"/>
      <c r="E519" s="120" t="s">
        <v>903</v>
      </c>
      <c r="F519" s="120"/>
      <c r="G519" s="132">
        <v>1017324</v>
      </c>
      <c r="H519" s="132">
        <v>7324</v>
      </c>
      <c r="I519" s="132" t="s">
        <v>108</v>
      </c>
      <c r="J519" s="133" t="s">
        <v>218</v>
      </c>
      <c r="K519" s="134" t="s">
        <v>1318</v>
      </c>
      <c r="L519" s="307">
        <f t="shared" si="74"/>
        <v>100000</v>
      </c>
      <c r="M519" s="308"/>
      <c r="N519" s="308">
        <v>100000</v>
      </c>
      <c r="O519" s="312"/>
      <c r="P519" s="312"/>
      <c r="Q519" s="312"/>
      <c r="R519" s="167"/>
      <c r="S519" s="68">
        <f t="shared" si="75"/>
        <v>0</v>
      </c>
      <c r="T519" s="43"/>
      <c r="U519" s="43">
        <v>100000</v>
      </c>
      <c r="V519" s="10">
        <v>3</v>
      </c>
      <c r="W519" s="2"/>
      <c r="X519" s="2"/>
      <c r="Y519" s="2"/>
      <c r="Z519" s="2"/>
      <c r="AA519" s="2"/>
      <c r="AB519" s="2"/>
      <c r="AC519" s="2"/>
      <c r="AD519" s="2"/>
      <c r="AE519" s="2"/>
      <c r="AF519" s="2"/>
      <c r="AG519" s="2"/>
      <c r="AH519" s="2"/>
      <c r="AI519" s="14"/>
      <c r="AJ519" s="140">
        <v>10</v>
      </c>
      <c r="AK519" s="135">
        <v>2021</v>
      </c>
      <c r="AL519" s="136">
        <v>990000</v>
      </c>
      <c r="AM519" s="139"/>
    </row>
    <row r="520" spans="1:39" s="27" customFormat="1" ht="33">
      <c r="A520" s="34" t="s">
        <v>881</v>
      </c>
      <c r="B520" s="34"/>
      <c r="C520" s="72"/>
      <c r="D520" s="72"/>
      <c r="E520" s="120" t="s">
        <v>901</v>
      </c>
      <c r="F520" s="120"/>
      <c r="G520" s="132">
        <v>1017324</v>
      </c>
      <c r="H520" s="132">
        <v>7324</v>
      </c>
      <c r="I520" s="132" t="s">
        <v>108</v>
      </c>
      <c r="J520" s="133" t="s">
        <v>218</v>
      </c>
      <c r="K520" s="134" t="s">
        <v>351</v>
      </c>
      <c r="L520" s="307">
        <f t="shared" si="74"/>
        <v>2992451</v>
      </c>
      <c r="M520" s="308"/>
      <c r="N520" s="308">
        <f>2392451+600000</f>
        <v>2992451</v>
      </c>
      <c r="O520" s="311"/>
      <c r="P520" s="311"/>
      <c r="Q520" s="311"/>
      <c r="R520" s="91"/>
      <c r="S520" s="68">
        <f t="shared" si="75"/>
        <v>600000</v>
      </c>
      <c r="T520" s="68"/>
      <c r="U520" s="68">
        <v>2392451</v>
      </c>
      <c r="V520" s="10">
        <v>1.2</v>
      </c>
      <c r="W520" s="2" t="s">
        <v>273</v>
      </c>
      <c r="X520" s="2">
        <v>273332.2</v>
      </c>
      <c r="Y520" s="2">
        <v>2119118.7999999998</v>
      </c>
      <c r="Z520" s="2"/>
      <c r="AA520" s="2"/>
      <c r="AB520" s="2"/>
      <c r="AC520" s="2"/>
      <c r="AD520" s="2"/>
      <c r="AE520" s="2"/>
      <c r="AF520" s="2"/>
      <c r="AG520" s="2"/>
      <c r="AH520" s="2"/>
      <c r="AI520" s="14"/>
      <c r="AJ520" s="140">
        <v>80</v>
      </c>
      <c r="AK520" s="135" t="s">
        <v>352</v>
      </c>
      <c r="AL520" s="136">
        <v>7016533</v>
      </c>
      <c r="AM520" s="139">
        <v>37.398527164341708</v>
      </c>
    </row>
    <row r="521" spans="1:39" s="27" customFormat="1" ht="49.5">
      <c r="A521" s="34" t="s">
        <v>881</v>
      </c>
      <c r="B521" s="34"/>
      <c r="C521" s="72"/>
      <c r="D521" s="72"/>
      <c r="E521" s="120" t="s">
        <v>902</v>
      </c>
      <c r="F521" s="120"/>
      <c r="G521" s="132">
        <v>1017324</v>
      </c>
      <c r="H521" s="132">
        <v>7324</v>
      </c>
      <c r="I521" s="132" t="s">
        <v>108</v>
      </c>
      <c r="J521" s="133" t="s">
        <v>218</v>
      </c>
      <c r="K521" s="134" t="s">
        <v>773</v>
      </c>
      <c r="L521" s="307">
        <f t="shared" si="74"/>
        <v>1000000</v>
      </c>
      <c r="M521" s="308"/>
      <c r="N521" s="308">
        <v>1000000</v>
      </c>
      <c r="O521" s="311"/>
      <c r="P521" s="311"/>
      <c r="Q521" s="311"/>
      <c r="R521" s="91"/>
      <c r="S521" s="68">
        <f t="shared" si="75"/>
        <v>0</v>
      </c>
      <c r="T521" s="68"/>
      <c r="U521" s="68">
        <v>1000000</v>
      </c>
      <c r="V521" s="10">
        <v>1.2</v>
      </c>
      <c r="W521" s="2" t="s">
        <v>273</v>
      </c>
      <c r="X521" s="2">
        <v>581323.63</v>
      </c>
      <c r="Y521" s="2">
        <v>418676.37</v>
      </c>
      <c r="Z521" s="2"/>
      <c r="AA521" s="2"/>
      <c r="AB521" s="2"/>
      <c r="AC521" s="2"/>
      <c r="AD521" s="2"/>
      <c r="AE521" s="2"/>
      <c r="AF521" s="2"/>
      <c r="AG521" s="2"/>
      <c r="AH521" s="2"/>
      <c r="AI521" s="14"/>
      <c r="AJ521" s="140">
        <v>11.261368598932918</v>
      </c>
      <c r="AK521" s="135" t="s">
        <v>353</v>
      </c>
      <c r="AL521" s="136">
        <v>21066800</v>
      </c>
      <c r="AM521" s="139">
        <v>6.5145631989670951</v>
      </c>
    </row>
    <row r="522" spans="1:39" s="27" customFormat="1" ht="99">
      <c r="A522" s="34" t="s">
        <v>881</v>
      </c>
      <c r="B522" s="34"/>
      <c r="C522" s="72"/>
      <c r="D522" s="72"/>
      <c r="E522" s="120" t="s">
        <v>1230</v>
      </c>
      <c r="F522" s="120"/>
      <c r="G522" s="132">
        <v>1017324</v>
      </c>
      <c r="H522" s="132">
        <v>7324</v>
      </c>
      <c r="I522" s="132" t="s">
        <v>108</v>
      </c>
      <c r="J522" s="133" t="s">
        <v>218</v>
      </c>
      <c r="K522" s="134" t="s">
        <v>1319</v>
      </c>
      <c r="L522" s="307">
        <f t="shared" si="74"/>
        <v>5000000</v>
      </c>
      <c r="M522" s="308"/>
      <c r="N522" s="308">
        <f>4000000+1000000</f>
        <v>5000000</v>
      </c>
      <c r="O522" s="311"/>
      <c r="P522" s="311"/>
      <c r="Q522" s="311"/>
      <c r="R522" s="91"/>
      <c r="S522" s="68">
        <f t="shared" si="75"/>
        <v>1000000</v>
      </c>
      <c r="T522" s="68"/>
      <c r="U522" s="68">
        <v>4000000</v>
      </c>
      <c r="V522" s="10">
        <v>1.2</v>
      </c>
      <c r="W522" s="2" t="s">
        <v>273</v>
      </c>
      <c r="X522" s="2">
        <v>658786</v>
      </c>
      <c r="Y522" s="2">
        <v>3341214</v>
      </c>
      <c r="Z522" s="2"/>
      <c r="AA522" s="2"/>
      <c r="AB522" s="2"/>
      <c r="AC522" s="2"/>
      <c r="AD522" s="2"/>
      <c r="AE522" s="2"/>
      <c r="AF522" s="2"/>
      <c r="AG522" s="2"/>
      <c r="AH522" s="2"/>
      <c r="AI522" s="14"/>
      <c r="AJ522" s="140">
        <v>100</v>
      </c>
      <c r="AK522" s="135" t="s">
        <v>353</v>
      </c>
      <c r="AL522" s="136">
        <v>7227400</v>
      </c>
      <c r="AM522" s="139">
        <v>31</v>
      </c>
    </row>
    <row r="523" spans="1:39" s="27" customFormat="1" ht="49.5">
      <c r="A523" s="34" t="s">
        <v>881</v>
      </c>
      <c r="B523" s="34"/>
      <c r="C523" s="72"/>
      <c r="D523" s="72"/>
      <c r="E523" s="120" t="s">
        <v>903</v>
      </c>
      <c r="F523" s="120"/>
      <c r="G523" s="132">
        <v>1017324</v>
      </c>
      <c r="H523" s="132">
        <v>7324</v>
      </c>
      <c r="I523" s="132" t="s">
        <v>108</v>
      </c>
      <c r="J523" s="133" t="s">
        <v>218</v>
      </c>
      <c r="K523" s="134" t="s">
        <v>364</v>
      </c>
      <c r="L523" s="307">
        <f t="shared" si="74"/>
        <v>17000000</v>
      </c>
      <c r="M523" s="308"/>
      <c r="N523" s="308">
        <f>7000000+10000000</f>
        <v>17000000</v>
      </c>
      <c r="O523" s="311"/>
      <c r="P523" s="311"/>
      <c r="Q523" s="311"/>
      <c r="R523" s="91"/>
      <c r="S523" s="68">
        <f t="shared" si="75"/>
        <v>0</v>
      </c>
      <c r="T523" s="41"/>
      <c r="U523" s="41">
        <f>7000000+10000000</f>
        <v>17000000</v>
      </c>
      <c r="V523" s="10">
        <v>2</v>
      </c>
      <c r="W523" s="2" t="s">
        <v>273</v>
      </c>
      <c r="X523" s="2"/>
      <c r="Y523" s="2">
        <v>7000000</v>
      </c>
      <c r="Z523" s="2">
        <v>10000000</v>
      </c>
      <c r="AA523" s="2"/>
      <c r="AB523" s="2"/>
      <c r="AC523" s="2"/>
      <c r="AD523" s="2"/>
      <c r="AE523" s="2"/>
      <c r="AF523" s="2"/>
      <c r="AG523" s="2"/>
      <c r="AH523" s="2"/>
      <c r="AI523" s="14"/>
      <c r="AJ523" s="140">
        <v>77</v>
      </c>
      <c r="AK523" s="135" t="s">
        <v>365</v>
      </c>
      <c r="AL523" s="136">
        <v>36976590</v>
      </c>
      <c r="AM523" s="139">
        <v>30.937276801349178</v>
      </c>
    </row>
    <row r="524" spans="1:39" s="27" customFormat="1" ht="33">
      <c r="A524" s="34" t="s">
        <v>881</v>
      </c>
      <c r="B524" s="34"/>
      <c r="C524" s="72"/>
      <c r="D524" s="72"/>
      <c r="E524" s="120" t="s">
        <v>902</v>
      </c>
      <c r="F524" s="120"/>
      <c r="G524" s="132">
        <v>1017324</v>
      </c>
      <c r="H524" s="132">
        <v>7324</v>
      </c>
      <c r="I524" s="132" t="s">
        <v>108</v>
      </c>
      <c r="J524" s="133" t="s">
        <v>218</v>
      </c>
      <c r="K524" s="134" t="s">
        <v>350</v>
      </c>
      <c r="L524" s="307">
        <f t="shared" si="74"/>
        <v>619800</v>
      </c>
      <c r="M524" s="308"/>
      <c r="N524" s="308">
        <f>129800+490000</f>
        <v>619800</v>
      </c>
      <c r="O524" s="311"/>
      <c r="P524" s="311"/>
      <c r="Q524" s="311"/>
      <c r="R524" s="91"/>
      <c r="S524" s="68">
        <f t="shared" si="75"/>
        <v>0</v>
      </c>
      <c r="T524" s="118"/>
      <c r="U524" s="118">
        <f>129800+490000</f>
        <v>619800</v>
      </c>
      <c r="V524" s="10">
        <v>1</v>
      </c>
      <c r="W524" s="2" t="s">
        <v>273</v>
      </c>
      <c r="X524" s="2">
        <v>129800</v>
      </c>
      <c r="Y524" s="2"/>
      <c r="Z524" s="2"/>
      <c r="AA524" s="2"/>
      <c r="AB524" s="2"/>
      <c r="AC524" s="2"/>
      <c r="AD524" s="2"/>
      <c r="AE524" s="2"/>
      <c r="AF524" s="2"/>
      <c r="AG524" s="2"/>
      <c r="AH524" s="2"/>
      <c r="AI524" s="14"/>
      <c r="AJ524" s="140">
        <v>100</v>
      </c>
      <c r="AK524" s="135" t="s">
        <v>255</v>
      </c>
      <c r="AL524" s="136">
        <v>7317326</v>
      </c>
      <c r="AM524" s="139">
        <v>87.522682466245186</v>
      </c>
    </row>
    <row r="525" spans="1:39" s="27" customFormat="1" ht="33">
      <c r="A525" s="34" t="s">
        <v>881</v>
      </c>
      <c r="B525" s="34"/>
      <c r="C525" s="72"/>
      <c r="D525" s="72"/>
      <c r="E525" s="120" t="s">
        <v>905</v>
      </c>
      <c r="F525" s="120"/>
      <c r="G525" s="132">
        <v>1017324</v>
      </c>
      <c r="H525" s="132">
        <v>7324</v>
      </c>
      <c r="I525" s="132" t="s">
        <v>108</v>
      </c>
      <c r="J525" s="133" t="s">
        <v>218</v>
      </c>
      <c r="K525" s="134" t="s">
        <v>702</v>
      </c>
      <c r="L525" s="307">
        <f t="shared" si="74"/>
        <v>900000</v>
      </c>
      <c r="M525" s="308"/>
      <c r="N525" s="308">
        <f>1000000-100000</f>
        <v>900000</v>
      </c>
      <c r="O525" s="311"/>
      <c r="P525" s="311"/>
      <c r="Q525" s="311"/>
      <c r="R525" s="91"/>
      <c r="S525" s="68">
        <f t="shared" si="75"/>
        <v>0</v>
      </c>
      <c r="T525" s="68"/>
      <c r="U525" s="68">
        <f>1000000-100000</f>
        <v>900000</v>
      </c>
      <c r="V525" s="10">
        <v>2</v>
      </c>
      <c r="W525" s="2" t="s">
        <v>254</v>
      </c>
      <c r="X525" s="2"/>
      <c r="Y525" s="2">
        <v>1000000</v>
      </c>
      <c r="Z525" s="2"/>
      <c r="AA525" s="2"/>
      <c r="AB525" s="2"/>
      <c r="AC525" s="2"/>
      <c r="AD525" s="2"/>
      <c r="AE525" s="2"/>
      <c r="AF525" s="2"/>
      <c r="AG525" s="2"/>
      <c r="AH525" s="2"/>
      <c r="AI525" s="14"/>
      <c r="AJ525" s="140">
        <v>49</v>
      </c>
      <c r="AK525" s="135" t="s">
        <v>272</v>
      </c>
      <c r="AL525" s="136">
        <v>3026680</v>
      </c>
      <c r="AM525" s="139">
        <v>19.449033264170641</v>
      </c>
    </row>
    <row r="526" spans="1:39" s="27" customFormat="1" ht="49.5">
      <c r="A526" s="34" t="s">
        <v>881</v>
      </c>
      <c r="B526" s="34"/>
      <c r="C526" s="72"/>
      <c r="D526" s="72"/>
      <c r="E526" s="120" t="s">
        <v>906</v>
      </c>
      <c r="F526" s="120"/>
      <c r="G526" s="132">
        <v>1017324</v>
      </c>
      <c r="H526" s="132">
        <v>7324</v>
      </c>
      <c r="I526" s="132" t="s">
        <v>108</v>
      </c>
      <c r="J526" s="133" t="s">
        <v>218</v>
      </c>
      <c r="K526" s="134" t="s">
        <v>774</v>
      </c>
      <c r="L526" s="307">
        <f t="shared" ref="L526:L557" si="76">SUM(M526:Q526)</f>
        <v>1000000</v>
      </c>
      <c r="M526" s="308"/>
      <c r="N526" s="308">
        <v>1000000</v>
      </c>
      <c r="O526" s="311"/>
      <c r="P526" s="311"/>
      <c r="Q526" s="311"/>
      <c r="R526" s="91"/>
      <c r="S526" s="68">
        <f t="shared" ref="S526:S562" si="77">N526-U526</f>
        <v>0</v>
      </c>
      <c r="T526" s="68"/>
      <c r="U526" s="68">
        <v>1000000</v>
      </c>
      <c r="V526" s="10">
        <v>2</v>
      </c>
      <c r="W526" s="2" t="s">
        <v>273</v>
      </c>
      <c r="X526" s="2"/>
      <c r="Y526" s="2">
        <v>1000000</v>
      </c>
      <c r="Z526" s="2"/>
      <c r="AA526" s="2"/>
      <c r="AB526" s="2"/>
      <c r="AC526" s="2"/>
      <c r="AD526" s="2"/>
      <c r="AE526" s="2"/>
      <c r="AF526" s="2"/>
      <c r="AG526" s="2"/>
      <c r="AH526" s="2"/>
      <c r="AI526" s="14"/>
      <c r="AJ526" s="140">
        <v>10</v>
      </c>
      <c r="AK526" s="135" t="s">
        <v>353</v>
      </c>
      <c r="AL526" s="136">
        <v>14122950</v>
      </c>
      <c r="AM526" s="139">
        <v>2.4529577744026567</v>
      </c>
    </row>
    <row r="527" spans="1:39" s="27" customFormat="1" ht="49.5">
      <c r="A527" s="34" t="s">
        <v>881</v>
      </c>
      <c r="B527" s="34"/>
      <c r="C527" s="72"/>
      <c r="D527" s="72"/>
      <c r="E527" s="120" t="s">
        <v>901</v>
      </c>
      <c r="F527" s="120"/>
      <c r="G527" s="132">
        <v>1017324</v>
      </c>
      <c r="H527" s="132">
        <v>7324</v>
      </c>
      <c r="I527" s="132" t="s">
        <v>108</v>
      </c>
      <c r="J527" s="133" t="s">
        <v>218</v>
      </c>
      <c r="K527" s="134" t="s">
        <v>698</v>
      </c>
      <c r="L527" s="307">
        <f t="shared" si="76"/>
        <v>2229904</v>
      </c>
      <c r="M527" s="308"/>
      <c r="N527" s="308">
        <v>2229904</v>
      </c>
      <c r="O527" s="311"/>
      <c r="P527" s="311"/>
      <c r="Q527" s="311"/>
      <c r="R527" s="91"/>
      <c r="S527" s="68">
        <f t="shared" si="77"/>
        <v>0</v>
      </c>
      <c r="T527" s="68"/>
      <c r="U527" s="68">
        <v>2229904</v>
      </c>
      <c r="V527" s="10">
        <v>2</v>
      </c>
      <c r="W527" s="2" t="s">
        <v>254</v>
      </c>
      <c r="X527" s="2"/>
      <c r="Y527" s="2">
        <v>2229904</v>
      </c>
      <c r="Z527" s="2"/>
      <c r="AA527" s="2"/>
      <c r="AB527" s="2"/>
      <c r="AC527" s="2"/>
      <c r="AD527" s="2"/>
      <c r="AE527" s="2"/>
      <c r="AF527" s="2"/>
      <c r="AG527" s="2"/>
      <c r="AH527" s="2"/>
      <c r="AI527" s="14"/>
      <c r="AJ527" s="140">
        <v>100</v>
      </c>
      <c r="AK527" s="135" t="s">
        <v>347</v>
      </c>
      <c r="AL527" s="136">
        <v>3072030</v>
      </c>
      <c r="AM527" s="139">
        <v>27.41281823419693</v>
      </c>
    </row>
    <row r="528" spans="1:39" s="27" customFormat="1" ht="33">
      <c r="A528" s="34" t="s">
        <v>881</v>
      </c>
      <c r="B528" s="34"/>
      <c r="C528" s="72"/>
      <c r="D528" s="72"/>
      <c r="E528" s="120" t="s">
        <v>901</v>
      </c>
      <c r="F528" s="120"/>
      <c r="G528" s="132">
        <v>1017324</v>
      </c>
      <c r="H528" s="132">
        <v>7324</v>
      </c>
      <c r="I528" s="132" t="s">
        <v>108</v>
      </c>
      <c r="J528" s="133" t="s">
        <v>218</v>
      </c>
      <c r="K528" s="134" t="s">
        <v>775</v>
      </c>
      <c r="L528" s="307">
        <f t="shared" si="76"/>
        <v>400000</v>
      </c>
      <c r="M528" s="308"/>
      <c r="N528" s="308">
        <v>400000</v>
      </c>
      <c r="O528" s="311"/>
      <c r="P528" s="311"/>
      <c r="Q528" s="311"/>
      <c r="R528" s="91"/>
      <c r="S528" s="68">
        <f t="shared" si="77"/>
        <v>0</v>
      </c>
      <c r="T528" s="68"/>
      <c r="U528" s="68">
        <v>400000</v>
      </c>
      <c r="V528" s="10">
        <v>3</v>
      </c>
      <c r="W528" s="2" t="s">
        <v>273</v>
      </c>
      <c r="X528" s="2"/>
      <c r="Y528" s="2"/>
      <c r="Z528" s="2"/>
      <c r="AA528" s="2"/>
      <c r="AB528" s="2">
        <v>400000</v>
      </c>
      <c r="AC528" s="2"/>
      <c r="AD528" s="2"/>
      <c r="AE528" s="2"/>
      <c r="AF528" s="2"/>
      <c r="AG528" s="2"/>
      <c r="AH528" s="2"/>
      <c r="AI528" s="14"/>
      <c r="AJ528" s="140">
        <v>40</v>
      </c>
      <c r="AK528" s="135" t="s">
        <v>331</v>
      </c>
      <c r="AL528" s="136">
        <v>1000000</v>
      </c>
      <c r="AM528" s="139"/>
    </row>
    <row r="529" spans="1:39" s="27" customFormat="1" ht="33">
      <c r="A529" s="34" t="s">
        <v>881</v>
      </c>
      <c r="B529" s="34"/>
      <c r="C529" s="72"/>
      <c r="D529" s="72"/>
      <c r="E529" s="120" t="s">
        <v>901</v>
      </c>
      <c r="F529" s="120"/>
      <c r="G529" s="132">
        <v>1017324</v>
      </c>
      <c r="H529" s="132">
        <v>7324</v>
      </c>
      <c r="I529" s="132" t="s">
        <v>108</v>
      </c>
      <c r="J529" s="133" t="s">
        <v>218</v>
      </c>
      <c r="K529" s="134" t="s">
        <v>776</v>
      </c>
      <c r="L529" s="307">
        <f t="shared" si="76"/>
        <v>200000</v>
      </c>
      <c r="M529" s="308"/>
      <c r="N529" s="308">
        <v>200000</v>
      </c>
      <c r="O529" s="311"/>
      <c r="P529" s="311"/>
      <c r="Q529" s="311"/>
      <c r="R529" s="91"/>
      <c r="S529" s="68">
        <f t="shared" si="77"/>
        <v>0</v>
      </c>
      <c r="T529" s="68"/>
      <c r="U529" s="68">
        <v>200000</v>
      </c>
      <c r="V529" s="10">
        <v>3</v>
      </c>
      <c r="W529" s="2" t="s">
        <v>273</v>
      </c>
      <c r="X529" s="2"/>
      <c r="Y529" s="2"/>
      <c r="Z529" s="2"/>
      <c r="AA529" s="2"/>
      <c r="AB529" s="2">
        <v>200000</v>
      </c>
      <c r="AC529" s="2"/>
      <c r="AD529" s="2"/>
      <c r="AE529" s="2"/>
      <c r="AF529" s="2"/>
      <c r="AG529" s="2"/>
      <c r="AH529" s="2"/>
      <c r="AI529" s="14"/>
      <c r="AJ529" s="140">
        <v>20</v>
      </c>
      <c r="AK529" s="135" t="s">
        <v>331</v>
      </c>
      <c r="AL529" s="136">
        <v>1000000</v>
      </c>
      <c r="AM529" s="139"/>
    </row>
    <row r="530" spans="1:39" s="27" customFormat="1">
      <c r="A530" s="34" t="s">
        <v>881</v>
      </c>
      <c r="B530" s="34"/>
      <c r="C530" s="72"/>
      <c r="D530" s="72"/>
      <c r="E530" s="120" t="s">
        <v>905</v>
      </c>
      <c r="F530" s="120"/>
      <c r="G530" s="132">
        <v>1017324</v>
      </c>
      <c r="H530" s="132">
        <v>7324</v>
      </c>
      <c r="I530" s="132" t="s">
        <v>108</v>
      </c>
      <c r="J530" s="133" t="s">
        <v>218</v>
      </c>
      <c r="K530" s="134" t="s">
        <v>770</v>
      </c>
      <c r="L530" s="307">
        <f t="shared" si="76"/>
        <v>800000</v>
      </c>
      <c r="M530" s="308"/>
      <c r="N530" s="308">
        <f>1000000-200000</f>
        <v>800000</v>
      </c>
      <c r="O530" s="311"/>
      <c r="P530" s="311"/>
      <c r="Q530" s="311"/>
      <c r="R530" s="91"/>
      <c r="S530" s="68">
        <f t="shared" si="77"/>
        <v>0</v>
      </c>
      <c r="T530" s="68"/>
      <c r="U530" s="68">
        <f>1000000-200000</f>
        <v>800000</v>
      </c>
      <c r="V530" s="10">
        <v>3</v>
      </c>
      <c r="W530" s="2" t="s">
        <v>273</v>
      </c>
      <c r="X530" s="2"/>
      <c r="Y530" s="2"/>
      <c r="Z530" s="2"/>
      <c r="AA530" s="2"/>
      <c r="AB530" s="2">
        <v>1000000</v>
      </c>
      <c r="AC530" s="2"/>
      <c r="AD530" s="2"/>
      <c r="AE530" s="2"/>
      <c r="AF530" s="2"/>
      <c r="AG530" s="2"/>
      <c r="AH530" s="2"/>
      <c r="AI530" s="14"/>
      <c r="AJ530" s="140">
        <v>80</v>
      </c>
      <c r="AK530" s="135">
        <v>2021</v>
      </c>
      <c r="AL530" s="136">
        <v>1000000</v>
      </c>
      <c r="AM530" s="139"/>
    </row>
    <row r="531" spans="1:39" s="27" customFormat="1" ht="33">
      <c r="A531" s="34" t="s">
        <v>881</v>
      </c>
      <c r="B531" s="34"/>
      <c r="C531" s="72"/>
      <c r="D531" s="72"/>
      <c r="E531" s="120" t="s">
        <v>905</v>
      </c>
      <c r="F531" s="120"/>
      <c r="G531" s="132">
        <v>1017324</v>
      </c>
      <c r="H531" s="132">
        <v>7324</v>
      </c>
      <c r="I531" s="132" t="s">
        <v>108</v>
      </c>
      <c r="J531" s="133" t="s">
        <v>218</v>
      </c>
      <c r="K531" s="134" t="s">
        <v>1320</v>
      </c>
      <c r="L531" s="307">
        <f t="shared" si="76"/>
        <v>200000</v>
      </c>
      <c r="M531" s="308"/>
      <c r="N531" s="308">
        <v>200000</v>
      </c>
      <c r="O531" s="311"/>
      <c r="P531" s="311"/>
      <c r="Q531" s="311"/>
      <c r="R531" s="91"/>
      <c r="S531" s="68">
        <f t="shared" si="77"/>
        <v>0</v>
      </c>
      <c r="T531" s="68"/>
      <c r="U531" s="68">
        <v>200000</v>
      </c>
      <c r="V531" s="10">
        <v>3</v>
      </c>
      <c r="W531" s="2" t="s">
        <v>273</v>
      </c>
      <c r="X531" s="2"/>
      <c r="Y531" s="2"/>
      <c r="Z531" s="2"/>
      <c r="AA531" s="2"/>
      <c r="AB531" s="2">
        <v>200000</v>
      </c>
      <c r="AC531" s="2"/>
      <c r="AD531" s="2"/>
      <c r="AE531" s="2"/>
      <c r="AF531" s="2"/>
      <c r="AG531" s="2"/>
      <c r="AH531" s="2"/>
      <c r="AI531" s="14"/>
      <c r="AJ531" s="140">
        <v>10</v>
      </c>
      <c r="AK531" s="135" t="s">
        <v>331</v>
      </c>
      <c r="AL531" s="136">
        <v>2000000</v>
      </c>
      <c r="AM531" s="139"/>
    </row>
    <row r="532" spans="1:39" s="27" customFormat="1" ht="33">
      <c r="A532" s="34" t="s">
        <v>881</v>
      </c>
      <c r="B532" s="34"/>
      <c r="C532" s="72"/>
      <c r="D532" s="72"/>
      <c r="E532" s="120" t="s">
        <v>903</v>
      </c>
      <c r="F532" s="120"/>
      <c r="G532" s="132">
        <v>1017324</v>
      </c>
      <c r="H532" s="132">
        <v>7324</v>
      </c>
      <c r="I532" s="132" t="s">
        <v>108</v>
      </c>
      <c r="J532" s="133" t="s">
        <v>218</v>
      </c>
      <c r="K532" s="134" t="s">
        <v>709</v>
      </c>
      <c r="L532" s="307">
        <f t="shared" si="76"/>
        <v>500000</v>
      </c>
      <c r="M532" s="308"/>
      <c r="N532" s="308">
        <f>5200000+5000000-9700000</f>
        <v>500000</v>
      </c>
      <c r="O532" s="321"/>
      <c r="P532" s="321"/>
      <c r="Q532" s="321"/>
      <c r="R532" s="131"/>
      <c r="S532" s="68">
        <f t="shared" si="77"/>
        <v>-9700000</v>
      </c>
      <c r="T532" s="41"/>
      <c r="U532" s="41">
        <f>5200000+5000000</f>
        <v>10200000</v>
      </c>
      <c r="V532" s="10">
        <v>3</v>
      </c>
      <c r="W532" s="2" t="s">
        <v>273</v>
      </c>
      <c r="X532" s="2"/>
      <c r="Y532" s="2"/>
      <c r="Z532" s="2">
        <v>5000000</v>
      </c>
      <c r="AA532" s="2"/>
      <c r="AB532" s="2">
        <v>5200000</v>
      </c>
      <c r="AC532" s="2"/>
      <c r="AD532" s="2"/>
      <c r="AE532" s="2"/>
      <c r="AF532" s="2"/>
      <c r="AG532" s="2"/>
      <c r="AH532" s="2"/>
      <c r="AI532" s="14"/>
      <c r="AJ532" s="141">
        <v>0.2</v>
      </c>
      <c r="AK532" s="135" t="s">
        <v>367</v>
      </c>
      <c r="AL532" s="136">
        <v>50000000</v>
      </c>
      <c r="AM532" s="139"/>
    </row>
    <row r="533" spans="1:39" s="27" customFormat="1" ht="49.5">
      <c r="A533" s="34" t="s">
        <v>881</v>
      </c>
      <c r="B533" s="34"/>
      <c r="C533" s="72"/>
      <c r="D533" s="72"/>
      <c r="E533" s="120" t="s">
        <v>906</v>
      </c>
      <c r="F533" s="120"/>
      <c r="G533" s="132">
        <v>1017324</v>
      </c>
      <c r="H533" s="132">
        <v>7324</v>
      </c>
      <c r="I533" s="132" t="s">
        <v>108</v>
      </c>
      <c r="J533" s="133" t="s">
        <v>218</v>
      </c>
      <c r="K533" s="134" t="s">
        <v>777</v>
      </c>
      <c r="L533" s="307">
        <f t="shared" si="76"/>
        <v>500400</v>
      </c>
      <c r="M533" s="308"/>
      <c r="N533" s="308">
        <v>500400</v>
      </c>
      <c r="O533" s="311"/>
      <c r="P533" s="311"/>
      <c r="Q533" s="311"/>
      <c r="R533" s="91"/>
      <c r="S533" s="68">
        <f t="shared" si="77"/>
        <v>0</v>
      </c>
      <c r="T533" s="68"/>
      <c r="U533" s="68">
        <v>500400</v>
      </c>
      <c r="V533" s="10">
        <v>3</v>
      </c>
      <c r="W533" s="2" t="s">
        <v>273</v>
      </c>
      <c r="X533" s="2"/>
      <c r="Y533" s="2"/>
      <c r="Z533" s="2"/>
      <c r="AA533" s="2"/>
      <c r="AB533" s="2">
        <v>500400</v>
      </c>
      <c r="AC533" s="2"/>
      <c r="AD533" s="2"/>
      <c r="AE533" s="2"/>
      <c r="AF533" s="2"/>
      <c r="AG533" s="2"/>
      <c r="AH533" s="2"/>
      <c r="AI533" s="14"/>
      <c r="AJ533" s="140">
        <v>100</v>
      </c>
      <c r="AK533" s="135" t="s">
        <v>271</v>
      </c>
      <c r="AL533" s="136">
        <v>549000</v>
      </c>
      <c r="AM533" s="139">
        <v>8.8524590163934427</v>
      </c>
    </row>
    <row r="534" spans="1:39" s="27" customFormat="1" ht="33">
      <c r="A534" s="34" t="s">
        <v>881</v>
      </c>
      <c r="B534" s="34"/>
      <c r="C534" s="72"/>
      <c r="D534" s="72"/>
      <c r="E534" s="120" t="s">
        <v>902</v>
      </c>
      <c r="F534" s="120"/>
      <c r="G534" s="132">
        <v>1017324</v>
      </c>
      <c r="H534" s="132">
        <v>7324</v>
      </c>
      <c r="I534" s="132" t="s">
        <v>108</v>
      </c>
      <c r="J534" s="133" t="s">
        <v>218</v>
      </c>
      <c r="K534" s="134" t="s">
        <v>778</v>
      </c>
      <c r="L534" s="307">
        <f t="shared" si="76"/>
        <v>200000</v>
      </c>
      <c r="M534" s="308"/>
      <c r="N534" s="308">
        <v>200000</v>
      </c>
      <c r="O534" s="311"/>
      <c r="P534" s="311"/>
      <c r="Q534" s="311"/>
      <c r="R534" s="91"/>
      <c r="S534" s="68">
        <f t="shared" si="77"/>
        <v>0</v>
      </c>
      <c r="T534" s="68"/>
      <c r="U534" s="68">
        <v>200000</v>
      </c>
      <c r="V534" s="10">
        <v>3</v>
      </c>
      <c r="W534" s="2" t="s">
        <v>273</v>
      </c>
      <c r="X534" s="2"/>
      <c r="Y534" s="2"/>
      <c r="Z534" s="2"/>
      <c r="AA534" s="2"/>
      <c r="AB534" s="2">
        <v>200000</v>
      </c>
      <c r="AC534" s="2"/>
      <c r="AD534" s="2"/>
      <c r="AE534" s="2"/>
      <c r="AF534" s="2"/>
      <c r="AG534" s="2"/>
      <c r="AH534" s="2"/>
      <c r="AI534" s="14"/>
      <c r="AJ534" s="140">
        <v>40</v>
      </c>
      <c r="AK534" s="135">
        <v>2021</v>
      </c>
      <c r="AL534" s="136">
        <v>500000</v>
      </c>
      <c r="AM534" s="139"/>
    </row>
    <row r="535" spans="1:39" s="27" customFormat="1" ht="33">
      <c r="A535" s="34" t="s">
        <v>881</v>
      </c>
      <c r="B535" s="34"/>
      <c r="C535" s="72"/>
      <c r="D535" s="72"/>
      <c r="E535" s="120" t="s">
        <v>901</v>
      </c>
      <c r="F535" s="120"/>
      <c r="G535" s="132">
        <v>1017324</v>
      </c>
      <c r="H535" s="132">
        <v>7324</v>
      </c>
      <c r="I535" s="132" t="s">
        <v>108</v>
      </c>
      <c r="J535" s="133" t="s">
        <v>218</v>
      </c>
      <c r="K535" s="134" t="s">
        <v>771</v>
      </c>
      <c r="L535" s="307">
        <f t="shared" si="76"/>
        <v>1200000</v>
      </c>
      <c r="M535" s="308"/>
      <c r="N535" s="308">
        <v>1200000</v>
      </c>
      <c r="O535" s="311"/>
      <c r="P535" s="311"/>
      <c r="Q535" s="311"/>
      <c r="R535" s="91"/>
      <c r="S535" s="68">
        <f t="shared" si="77"/>
        <v>0</v>
      </c>
      <c r="T535" s="68"/>
      <c r="U535" s="68">
        <v>1200000</v>
      </c>
      <c r="V535" s="10">
        <v>3</v>
      </c>
      <c r="W535" s="2" t="s">
        <v>254</v>
      </c>
      <c r="X535" s="2"/>
      <c r="Y535" s="2"/>
      <c r="Z535" s="2"/>
      <c r="AA535" s="2"/>
      <c r="AB535" s="2">
        <v>1200000</v>
      </c>
      <c r="AC535" s="2"/>
      <c r="AD535" s="2"/>
      <c r="AE535" s="2"/>
      <c r="AF535" s="2"/>
      <c r="AG535" s="2"/>
      <c r="AH535" s="2"/>
      <c r="AI535" s="14"/>
      <c r="AJ535" s="140">
        <v>48</v>
      </c>
      <c r="AK535" s="135" t="s">
        <v>331</v>
      </c>
      <c r="AL535" s="136">
        <v>2500000</v>
      </c>
      <c r="AM535" s="139"/>
    </row>
    <row r="536" spans="1:39" s="27" customFormat="1" ht="49.5">
      <c r="A536" s="34" t="s">
        <v>881</v>
      </c>
      <c r="B536" s="34"/>
      <c r="C536" s="72"/>
      <c r="D536" s="72"/>
      <c r="E536" s="120" t="s">
        <v>901</v>
      </c>
      <c r="F536" s="120"/>
      <c r="G536" s="132">
        <v>1017324</v>
      </c>
      <c r="H536" s="132">
        <v>7324</v>
      </c>
      <c r="I536" s="132" t="s">
        <v>108</v>
      </c>
      <c r="J536" s="133" t="s">
        <v>218</v>
      </c>
      <c r="K536" s="134" t="s">
        <v>779</v>
      </c>
      <c r="L536" s="307">
        <f t="shared" si="76"/>
        <v>800000</v>
      </c>
      <c r="M536" s="308"/>
      <c r="N536" s="308">
        <v>800000</v>
      </c>
      <c r="O536" s="311"/>
      <c r="P536" s="311"/>
      <c r="Q536" s="311"/>
      <c r="R536" s="91"/>
      <c r="S536" s="68">
        <f t="shared" si="77"/>
        <v>0</v>
      </c>
      <c r="T536" s="68"/>
      <c r="U536" s="68">
        <v>800000</v>
      </c>
      <c r="V536" s="10">
        <v>3</v>
      </c>
      <c r="W536" s="2" t="s">
        <v>254</v>
      </c>
      <c r="X536" s="2"/>
      <c r="Y536" s="2"/>
      <c r="Z536" s="2"/>
      <c r="AA536" s="2"/>
      <c r="AB536" s="2">
        <v>800000</v>
      </c>
      <c r="AC536" s="2"/>
      <c r="AD536" s="2"/>
      <c r="AE536" s="2"/>
      <c r="AF536" s="2"/>
      <c r="AG536" s="2"/>
      <c r="AH536" s="2"/>
      <c r="AI536" s="14"/>
      <c r="AJ536" s="140">
        <v>17</v>
      </c>
      <c r="AK536" s="135" t="s">
        <v>331</v>
      </c>
      <c r="AL536" s="136">
        <v>4700000</v>
      </c>
      <c r="AM536" s="139"/>
    </row>
    <row r="537" spans="1:39" s="27" customFormat="1" ht="66">
      <c r="A537" s="34" t="s">
        <v>881</v>
      </c>
      <c r="B537" s="34"/>
      <c r="C537" s="72"/>
      <c r="D537" s="72"/>
      <c r="E537" s="120" t="s">
        <v>903</v>
      </c>
      <c r="F537" s="120"/>
      <c r="G537" s="132">
        <v>1017324</v>
      </c>
      <c r="H537" s="132">
        <v>7324</v>
      </c>
      <c r="I537" s="132" t="s">
        <v>108</v>
      </c>
      <c r="J537" s="133" t="s">
        <v>218</v>
      </c>
      <c r="K537" s="134" t="s">
        <v>369</v>
      </c>
      <c r="L537" s="307">
        <f t="shared" si="76"/>
        <v>800000</v>
      </c>
      <c r="M537" s="308"/>
      <c r="N537" s="308">
        <v>800000</v>
      </c>
      <c r="O537" s="311"/>
      <c r="P537" s="311"/>
      <c r="Q537" s="311"/>
      <c r="R537" s="91"/>
      <c r="S537" s="68">
        <f t="shared" si="77"/>
        <v>0</v>
      </c>
      <c r="T537" s="68"/>
      <c r="U537" s="68">
        <v>800000</v>
      </c>
      <c r="V537" s="10">
        <v>3</v>
      </c>
      <c r="W537" s="2" t="s">
        <v>254</v>
      </c>
      <c r="X537" s="2"/>
      <c r="Y537" s="2"/>
      <c r="Z537" s="2"/>
      <c r="AA537" s="2"/>
      <c r="AB537" s="2">
        <v>800000</v>
      </c>
      <c r="AC537" s="2"/>
      <c r="AD537" s="2"/>
      <c r="AE537" s="2"/>
      <c r="AF537" s="2"/>
      <c r="AG537" s="2"/>
      <c r="AH537" s="2"/>
      <c r="AI537" s="14"/>
      <c r="AJ537" s="140">
        <v>100</v>
      </c>
      <c r="AK537" s="135">
        <v>2021</v>
      </c>
      <c r="AL537" s="136">
        <v>800000</v>
      </c>
      <c r="AM537" s="139"/>
    </row>
    <row r="538" spans="1:39" s="27" customFormat="1" ht="66">
      <c r="A538" s="34" t="s">
        <v>881</v>
      </c>
      <c r="B538" s="34"/>
      <c r="C538" s="72"/>
      <c r="D538" s="72"/>
      <c r="E538" s="120" t="s">
        <v>901</v>
      </c>
      <c r="F538" s="120"/>
      <c r="G538" s="132">
        <v>1017324</v>
      </c>
      <c r="H538" s="132">
        <v>7324</v>
      </c>
      <c r="I538" s="132" t="s">
        <v>108</v>
      </c>
      <c r="J538" s="133" t="s">
        <v>218</v>
      </c>
      <c r="K538" s="134" t="s">
        <v>971</v>
      </c>
      <c r="L538" s="307">
        <f t="shared" si="76"/>
        <v>100000</v>
      </c>
      <c r="M538" s="308"/>
      <c r="N538" s="308">
        <v>100000</v>
      </c>
      <c r="O538" s="311"/>
      <c r="P538" s="311"/>
      <c r="Q538" s="311"/>
      <c r="R538" s="91"/>
      <c r="S538" s="68">
        <f t="shared" si="77"/>
        <v>0</v>
      </c>
      <c r="T538" s="68"/>
      <c r="U538" s="68">
        <v>100000</v>
      </c>
      <c r="V538" s="10">
        <v>3</v>
      </c>
      <c r="W538" s="2" t="s">
        <v>254</v>
      </c>
      <c r="X538" s="2"/>
      <c r="Y538" s="2"/>
      <c r="Z538" s="2"/>
      <c r="AA538" s="2"/>
      <c r="AB538" s="2">
        <v>100000</v>
      </c>
      <c r="AC538" s="2"/>
      <c r="AD538" s="2"/>
      <c r="AE538" s="2"/>
      <c r="AF538" s="2"/>
      <c r="AG538" s="2"/>
      <c r="AH538" s="2"/>
      <c r="AI538" s="14"/>
      <c r="AJ538" s="140">
        <v>6.1109090909090913</v>
      </c>
      <c r="AK538" s="135" t="s">
        <v>272</v>
      </c>
      <c r="AL538" s="136">
        <v>6192245</v>
      </c>
      <c r="AM538" s="139">
        <v>4.2927272727272729</v>
      </c>
    </row>
    <row r="539" spans="1:39" s="27" customFormat="1" ht="49.5">
      <c r="A539" s="34" t="s">
        <v>881</v>
      </c>
      <c r="B539" s="34"/>
      <c r="C539" s="72"/>
      <c r="D539" s="72"/>
      <c r="E539" s="120" t="s">
        <v>905</v>
      </c>
      <c r="F539" s="120"/>
      <c r="G539" s="132">
        <v>1017324</v>
      </c>
      <c r="H539" s="132">
        <v>7324</v>
      </c>
      <c r="I539" s="132" t="s">
        <v>108</v>
      </c>
      <c r="J539" s="133" t="s">
        <v>218</v>
      </c>
      <c r="K539" s="134" t="s">
        <v>378</v>
      </c>
      <c r="L539" s="307">
        <f t="shared" si="76"/>
        <v>80000</v>
      </c>
      <c r="M539" s="308"/>
      <c r="N539" s="308">
        <v>80000</v>
      </c>
      <c r="O539" s="311"/>
      <c r="P539" s="311"/>
      <c r="Q539" s="311"/>
      <c r="R539" s="91"/>
      <c r="S539" s="68">
        <f t="shared" si="77"/>
        <v>0</v>
      </c>
      <c r="T539" s="68"/>
      <c r="U539" s="68">
        <v>80000</v>
      </c>
      <c r="V539" s="10">
        <v>3</v>
      </c>
      <c r="W539" s="2" t="s">
        <v>254</v>
      </c>
      <c r="X539" s="2"/>
      <c r="Y539" s="2"/>
      <c r="Z539" s="2"/>
      <c r="AA539" s="2"/>
      <c r="AB539" s="2">
        <v>80000</v>
      </c>
      <c r="AC539" s="2"/>
      <c r="AD539" s="2"/>
      <c r="AE539" s="2"/>
      <c r="AF539" s="2"/>
      <c r="AG539" s="2"/>
      <c r="AH539" s="2"/>
      <c r="AI539" s="14"/>
      <c r="AJ539" s="140">
        <v>100</v>
      </c>
      <c r="AK539" s="135">
        <v>2021</v>
      </c>
      <c r="AL539" s="136">
        <v>80000</v>
      </c>
      <c r="AM539" s="139"/>
    </row>
    <row r="540" spans="1:39" s="27" customFormat="1" ht="33">
      <c r="A540" s="34" t="s">
        <v>881</v>
      </c>
      <c r="B540" s="34"/>
      <c r="C540" s="72"/>
      <c r="D540" s="72"/>
      <c r="E540" s="120" t="s">
        <v>903</v>
      </c>
      <c r="F540" s="120"/>
      <c r="G540" s="132">
        <v>1017324</v>
      </c>
      <c r="H540" s="132">
        <v>7324</v>
      </c>
      <c r="I540" s="132" t="s">
        <v>108</v>
      </c>
      <c r="J540" s="133" t="s">
        <v>218</v>
      </c>
      <c r="K540" s="134" t="s">
        <v>780</v>
      </c>
      <c r="L540" s="307">
        <f t="shared" si="76"/>
        <v>150000</v>
      </c>
      <c r="M540" s="308"/>
      <c r="N540" s="308">
        <v>150000</v>
      </c>
      <c r="O540" s="311"/>
      <c r="P540" s="311"/>
      <c r="Q540" s="311"/>
      <c r="R540" s="91"/>
      <c r="S540" s="68">
        <f t="shared" si="77"/>
        <v>0</v>
      </c>
      <c r="T540" s="68"/>
      <c r="U540" s="68">
        <v>150000</v>
      </c>
      <c r="V540" s="10">
        <v>3</v>
      </c>
      <c r="W540" s="2" t="s">
        <v>254</v>
      </c>
      <c r="X540" s="2"/>
      <c r="Y540" s="2"/>
      <c r="Z540" s="2"/>
      <c r="AA540" s="2"/>
      <c r="AB540" s="2">
        <v>150000</v>
      </c>
      <c r="AC540" s="2"/>
      <c r="AD540" s="2"/>
      <c r="AE540" s="2"/>
      <c r="AF540" s="2"/>
      <c r="AG540" s="2"/>
      <c r="AH540" s="2"/>
      <c r="AI540" s="14"/>
      <c r="AJ540" s="140">
        <v>21.428571428571427</v>
      </c>
      <c r="AK540" s="135" t="s">
        <v>367</v>
      </c>
      <c r="AL540" s="136">
        <v>700000</v>
      </c>
      <c r="AM540" s="139"/>
    </row>
    <row r="541" spans="1:39" s="27" customFormat="1" ht="49.5">
      <c r="A541" s="34" t="s">
        <v>881</v>
      </c>
      <c r="B541" s="34"/>
      <c r="C541" s="72"/>
      <c r="D541" s="72"/>
      <c r="E541" s="120" t="s">
        <v>901</v>
      </c>
      <c r="F541" s="120"/>
      <c r="G541" s="132">
        <v>1017324</v>
      </c>
      <c r="H541" s="132">
        <v>7324</v>
      </c>
      <c r="I541" s="132" t="s">
        <v>108</v>
      </c>
      <c r="J541" s="133" t="s">
        <v>218</v>
      </c>
      <c r="K541" s="134" t="s">
        <v>379</v>
      </c>
      <c r="L541" s="307">
        <f t="shared" si="76"/>
        <v>1000000</v>
      </c>
      <c r="M541" s="308"/>
      <c r="N541" s="308">
        <v>1000000</v>
      </c>
      <c r="O541" s="311"/>
      <c r="P541" s="311"/>
      <c r="Q541" s="311"/>
      <c r="R541" s="91"/>
      <c r="S541" s="68">
        <f t="shared" si="77"/>
        <v>0</v>
      </c>
      <c r="T541" s="68"/>
      <c r="U541" s="68">
        <v>1000000</v>
      </c>
      <c r="V541" s="10">
        <v>3</v>
      </c>
      <c r="W541" s="2" t="s">
        <v>254</v>
      </c>
      <c r="X541" s="2"/>
      <c r="Y541" s="2"/>
      <c r="Z541" s="2"/>
      <c r="AA541" s="2"/>
      <c r="AB541" s="2">
        <v>1000000</v>
      </c>
      <c r="AC541" s="2"/>
      <c r="AD541" s="2"/>
      <c r="AE541" s="2"/>
      <c r="AF541" s="2"/>
      <c r="AG541" s="2"/>
      <c r="AH541" s="2"/>
      <c r="AI541" s="14"/>
      <c r="AJ541" s="140">
        <v>9</v>
      </c>
      <c r="AK541" s="135" t="s">
        <v>353</v>
      </c>
      <c r="AL541" s="136">
        <v>12000000</v>
      </c>
      <c r="AM541" s="139">
        <v>1.0840833333333333</v>
      </c>
    </row>
    <row r="542" spans="1:39" s="27" customFormat="1" ht="49.5">
      <c r="A542" s="34" t="s">
        <v>881</v>
      </c>
      <c r="B542" s="34"/>
      <c r="C542" s="72"/>
      <c r="D542" s="72"/>
      <c r="E542" s="120" t="s">
        <v>901</v>
      </c>
      <c r="F542" s="120"/>
      <c r="G542" s="132">
        <v>1017324</v>
      </c>
      <c r="H542" s="132">
        <v>7324</v>
      </c>
      <c r="I542" s="132" t="s">
        <v>108</v>
      </c>
      <c r="J542" s="133" t="s">
        <v>218</v>
      </c>
      <c r="K542" s="134" t="s">
        <v>1321</v>
      </c>
      <c r="L542" s="307">
        <f t="shared" si="76"/>
        <v>1000000</v>
      </c>
      <c r="M542" s="308"/>
      <c r="N542" s="308">
        <v>1000000</v>
      </c>
      <c r="O542" s="311"/>
      <c r="P542" s="311"/>
      <c r="Q542" s="311"/>
      <c r="R542" s="91"/>
      <c r="S542" s="68">
        <f t="shared" si="77"/>
        <v>0</v>
      </c>
      <c r="T542" s="68"/>
      <c r="U542" s="68">
        <v>1000000</v>
      </c>
      <c r="V542" s="10">
        <v>3</v>
      </c>
      <c r="W542" s="2" t="s">
        <v>254</v>
      </c>
      <c r="X542" s="2"/>
      <c r="Y542" s="2"/>
      <c r="Z542" s="2"/>
      <c r="AA542" s="2"/>
      <c r="AB542" s="2">
        <v>1000000</v>
      </c>
      <c r="AC542" s="2"/>
      <c r="AD542" s="2"/>
      <c r="AE542" s="2"/>
      <c r="AF542" s="2"/>
      <c r="AG542" s="2"/>
      <c r="AH542" s="2"/>
      <c r="AI542" s="14"/>
      <c r="AJ542" s="140">
        <v>10.457469554708561</v>
      </c>
      <c r="AK542" s="135" t="s">
        <v>353</v>
      </c>
      <c r="AL542" s="136">
        <v>10757000</v>
      </c>
      <c r="AM542" s="139">
        <v>1.1611973598586967</v>
      </c>
    </row>
    <row r="543" spans="1:39" s="66" customFormat="1" ht="33">
      <c r="A543" s="72" t="s">
        <v>881</v>
      </c>
      <c r="B543" s="72"/>
      <c r="C543" s="72"/>
      <c r="D543" s="72"/>
      <c r="E543" s="120"/>
      <c r="F543" s="120"/>
      <c r="G543" s="132">
        <v>1017324</v>
      </c>
      <c r="H543" s="132">
        <v>7324</v>
      </c>
      <c r="I543" s="132" t="s">
        <v>108</v>
      </c>
      <c r="J543" s="133" t="s">
        <v>218</v>
      </c>
      <c r="K543" s="134" t="s">
        <v>1304</v>
      </c>
      <c r="L543" s="307">
        <f t="shared" si="76"/>
        <v>1000000</v>
      </c>
      <c r="M543" s="308"/>
      <c r="N543" s="308">
        <v>1000000</v>
      </c>
      <c r="O543" s="312"/>
      <c r="P543" s="312"/>
      <c r="Q543" s="312"/>
      <c r="R543" s="167"/>
      <c r="S543" s="68">
        <f t="shared" si="77"/>
        <v>1000000</v>
      </c>
      <c r="T543" s="68"/>
      <c r="U543" s="68"/>
      <c r="V543" s="10"/>
      <c r="W543" s="68"/>
      <c r="X543" s="68"/>
      <c r="Y543" s="68"/>
      <c r="Z543" s="68"/>
      <c r="AA543" s="68"/>
      <c r="AB543" s="68"/>
      <c r="AC543" s="68"/>
      <c r="AD543" s="68"/>
      <c r="AE543" s="68"/>
      <c r="AF543" s="68"/>
      <c r="AG543" s="68"/>
      <c r="AH543" s="68"/>
      <c r="AI543" s="71"/>
      <c r="AJ543" s="140">
        <v>100</v>
      </c>
      <c r="AK543" s="135">
        <v>2021</v>
      </c>
      <c r="AL543" s="136">
        <v>1000000</v>
      </c>
      <c r="AM543" s="139"/>
    </row>
    <row r="544" spans="1:39" s="27" customFormat="1" ht="33">
      <c r="A544" s="34" t="s">
        <v>881</v>
      </c>
      <c r="B544" s="34"/>
      <c r="C544" s="72"/>
      <c r="D544" s="72"/>
      <c r="E544" s="120" t="s">
        <v>905</v>
      </c>
      <c r="F544" s="120"/>
      <c r="G544" s="132">
        <v>1017340</v>
      </c>
      <c r="H544" s="132">
        <v>7340</v>
      </c>
      <c r="I544" s="132" t="s">
        <v>108</v>
      </c>
      <c r="J544" s="133" t="s">
        <v>282</v>
      </c>
      <c r="K544" s="134" t="s">
        <v>376</v>
      </c>
      <c r="L544" s="307">
        <f t="shared" si="76"/>
        <v>1000000</v>
      </c>
      <c r="M544" s="308"/>
      <c r="N544" s="308">
        <v>1000000</v>
      </c>
      <c r="O544" s="312"/>
      <c r="P544" s="312"/>
      <c r="Q544" s="312"/>
      <c r="R544" s="167"/>
      <c r="S544" s="68">
        <f t="shared" si="77"/>
        <v>0</v>
      </c>
      <c r="T544" s="68"/>
      <c r="U544" s="68">
        <v>1000000</v>
      </c>
      <c r="V544" s="10">
        <v>1.2</v>
      </c>
      <c r="W544" s="2" t="s">
        <v>273</v>
      </c>
      <c r="X544" s="2">
        <v>188553.8</v>
      </c>
      <c r="Y544" s="2">
        <v>811446.2</v>
      </c>
      <c r="Z544" s="2"/>
      <c r="AA544" s="2"/>
      <c r="AB544" s="2"/>
      <c r="AC544" s="2"/>
      <c r="AD544" s="2"/>
      <c r="AE544" s="2"/>
      <c r="AF544" s="2"/>
      <c r="AG544" s="2"/>
      <c r="AH544" s="2"/>
      <c r="AI544" s="14"/>
      <c r="AJ544" s="140">
        <v>26.568306608025786</v>
      </c>
      <c r="AK544" s="135" t="s">
        <v>353</v>
      </c>
      <c r="AL544" s="136">
        <v>36607000</v>
      </c>
      <c r="AM544" s="139">
        <v>23.836588630589777</v>
      </c>
    </row>
    <row r="545" spans="1:39" s="27" customFormat="1" ht="49.5">
      <c r="A545" s="34" t="s">
        <v>881</v>
      </c>
      <c r="B545" s="34"/>
      <c r="C545" s="72"/>
      <c r="D545" s="72"/>
      <c r="E545" s="120" t="s">
        <v>901</v>
      </c>
      <c r="F545" s="120"/>
      <c r="G545" s="132">
        <v>1017340</v>
      </c>
      <c r="H545" s="132">
        <v>7340</v>
      </c>
      <c r="I545" s="132" t="s">
        <v>108</v>
      </c>
      <c r="J545" s="133" t="s">
        <v>282</v>
      </c>
      <c r="K545" s="134" t="s">
        <v>699</v>
      </c>
      <c r="L545" s="307">
        <f t="shared" si="76"/>
        <v>1240000</v>
      </c>
      <c r="M545" s="308"/>
      <c r="N545" s="308">
        <v>1240000</v>
      </c>
      <c r="O545" s="312"/>
      <c r="P545" s="312"/>
      <c r="Q545" s="312"/>
      <c r="R545" s="167"/>
      <c r="S545" s="68">
        <f t="shared" si="77"/>
        <v>0</v>
      </c>
      <c r="T545" s="40"/>
      <c r="U545" s="40">
        <v>1240000</v>
      </c>
      <c r="V545" s="10">
        <v>2</v>
      </c>
      <c r="W545" s="2" t="s">
        <v>254</v>
      </c>
      <c r="X545" s="2"/>
      <c r="Y545" s="2">
        <v>500000</v>
      </c>
      <c r="Z545" s="2"/>
      <c r="AA545" s="2"/>
      <c r="AB545" s="2"/>
      <c r="AC545" s="2"/>
      <c r="AD545" s="2"/>
      <c r="AE545" s="2"/>
      <c r="AF545" s="2"/>
      <c r="AG545" s="2"/>
      <c r="AH545" s="2"/>
      <c r="AI545" s="14"/>
      <c r="AJ545" s="140">
        <v>83</v>
      </c>
      <c r="AK545" s="135" t="s">
        <v>366</v>
      </c>
      <c r="AL545" s="136">
        <v>15810951</v>
      </c>
      <c r="AM545" s="139">
        <v>75.468894945028921</v>
      </c>
    </row>
    <row r="546" spans="1:39" s="27" customFormat="1" ht="49.5">
      <c r="A546" s="34" t="s">
        <v>881</v>
      </c>
      <c r="B546" s="34"/>
      <c r="C546" s="72"/>
      <c r="D546" s="72"/>
      <c r="E546" s="120" t="s">
        <v>901</v>
      </c>
      <c r="F546" s="120"/>
      <c r="G546" s="132">
        <v>1017340</v>
      </c>
      <c r="H546" s="132">
        <v>7340</v>
      </c>
      <c r="I546" s="132" t="s">
        <v>108</v>
      </c>
      <c r="J546" s="133" t="s">
        <v>282</v>
      </c>
      <c r="K546" s="134" t="s">
        <v>772</v>
      </c>
      <c r="L546" s="307">
        <f t="shared" si="76"/>
        <v>260000</v>
      </c>
      <c r="M546" s="308"/>
      <c r="N546" s="308">
        <v>260000</v>
      </c>
      <c r="O546" s="312"/>
      <c r="P546" s="312"/>
      <c r="Q546" s="312"/>
      <c r="R546" s="167"/>
      <c r="S546" s="68">
        <f t="shared" si="77"/>
        <v>0</v>
      </c>
      <c r="T546" s="40"/>
      <c r="U546" s="40">
        <v>260000</v>
      </c>
      <c r="V546" s="10">
        <v>3</v>
      </c>
      <c r="W546" s="2" t="s">
        <v>254</v>
      </c>
      <c r="X546" s="2"/>
      <c r="Y546" s="2"/>
      <c r="Z546" s="2"/>
      <c r="AA546" s="2"/>
      <c r="AB546" s="2">
        <v>1000000</v>
      </c>
      <c r="AC546" s="2"/>
      <c r="AD546" s="2"/>
      <c r="AE546" s="2"/>
      <c r="AF546" s="2"/>
      <c r="AG546" s="2"/>
      <c r="AH546" s="2"/>
      <c r="AI546" s="14"/>
      <c r="AJ546" s="140">
        <v>6</v>
      </c>
      <c r="AK546" s="135" t="s">
        <v>353</v>
      </c>
      <c r="AL546" s="136">
        <v>8690000</v>
      </c>
      <c r="AM546" s="139">
        <v>3.4113924050632911</v>
      </c>
    </row>
    <row r="547" spans="1:39" s="27" customFormat="1" ht="49.5">
      <c r="A547" s="34" t="s">
        <v>881</v>
      </c>
      <c r="B547" s="34"/>
      <c r="C547" s="72"/>
      <c r="D547" s="72"/>
      <c r="E547" s="120" t="s">
        <v>901</v>
      </c>
      <c r="F547" s="120"/>
      <c r="G547" s="132">
        <v>1017340</v>
      </c>
      <c r="H547" s="132">
        <v>7340</v>
      </c>
      <c r="I547" s="132" t="s">
        <v>108</v>
      </c>
      <c r="J547" s="133" t="s">
        <v>282</v>
      </c>
      <c r="K547" s="134" t="s">
        <v>1004</v>
      </c>
      <c r="L547" s="307">
        <f t="shared" si="76"/>
        <v>100000</v>
      </c>
      <c r="M547" s="308"/>
      <c r="N547" s="308">
        <v>100000</v>
      </c>
      <c r="O547" s="312"/>
      <c r="P547" s="312"/>
      <c r="Q547" s="312"/>
      <c r="R547" s="167"/>
      <c r="S547" s="68">
        <f t="shared" si="77"/>
        <v>0</v>
      </c>
      <c r="T547" s="68"/>
      <c r="U547" s="68">
        <v>100000</v>
      </c>
      <c r="V547" s="10">
        <v>3</v>
      </c>
      <c r="W547" s="2" t="s">
        <v>254</v>
      </c>
      <c r="X547" s="2"/>
      <c r="Y547" s="2"/>
      <c r="Z547" s="2"/>
      <c r="AA547" s="2"/>
      <c r="AB547" s="2">
        <v>100000</v>
      </c>
      <c r="AC547" s="2"/>
      <c r="AD547" s="2"/>
      <c r="AE547" s="2"/>
      <c r="AF547" s="2"/>
      <c r="AG547" s="2"/>
      <c r="AH547" s="2"/>
      <c r="AI547" s="14"/>
      <c r="AJ547" s="140"/>
      <c r="AK547" s="135" t="s">
        <v>367</v>
      </c>
      <c r="AL547" s="136">
        <v>23886030</v>
      </c>
      <c r="AM547" s="139"/>
    </row>
    <row r="548" spans="1:39" s="27" customFormat="1" ht="49.5">
      <c r="A548" s="34" t="s">
        <v>881</v>
      </c>
      <c r="B548" s="34"/>
      <c r="C548" s="72"/>
      <c r="D548" s="72"/>
      <c r="E548" s="120" t="s">
        <v>903</v>
      </c>
      <c r="F548" s="120"/>
      <c r="G548" s="132">
        <v>1017340</v>
      </c>
      <c r="H548" s="132">
        <v>7340</v>
      </c>
      <c r="I548" s="132" t="s">
        <v>108</v>
      </c>
      <c r="J548" s="133" t="s">
        <v>282</v>
      </c>
      <c r="K548" s="134" t="s">
        <v>368</v>
      </c>
      <c r="L548" s="307">
        <f t="shared" si="76"/>
        <v>200000</v>
      </c>
      <c r="M548" s="308"/>
      <c r="N548" s="308">
        <v>200000</v>
      </c>
      <c r="O548" s="312"/>
      <c r="P548" s="312"/>
      <c r="Q548" s="312"/>
      <c r="R548" s="167"/>
      <c r="S548" s="68">
        <f t="shared" si="77"/>
        <v>0</v>
      </c>
      <c r="T548" s="68"/>
      <c r="U548" s="68">
        <v>200000</v>
      </c>
      <c r="V548" s="10">
        <v>3</v>
      </c>
      <c r="W548" s="2" t="s">
        <v>254</v>
      </c>
      <c r="X548" s="2"/>
      <c r="Y548" s="2"/>
      <c r="Z548" s="2"/>
      <c r="AA548" s="2"/>
      <c r="AB548" s="2">
        <v>200000</v>
      </c>
      <c r="AC548" s="2"/>
      <c r="AD548" s="2"/>
      <c r="AE548" s="2"/>
      <c r="AF548" s="2"/>
      <c r="AG548" s="2"/>
      <c r="AH548" s="2"/>
      <c r="AI548" s="14"/>
      <c r="AJ548" s="140">
        <v>17.445917655268666</v>
      </c>
      <c r="AK548" s="135" t="s">
        <v>331</v>
      </c>
      <c r="AL548" s="136">
        <v>1146400</v>
      </c>
      <c r="AM548" s="139"/>
    </row>
    <row r="549" spans="1:39" s="66" customFormat="1" ht="49.5">
      <c r="A549" s="72" t="s">
        <v>881</v>
      </c>
      <c r="B549" s="72"/>
      <c r="C549" s="72"/>
      <c r="D549" s="72"/>
      <c r="E549" s="120"/>
      <c r="F549" s="120"/>
      <c r="G549" s="132">
        <v>1017670</v>
      </c>
      <c r="H549" s="132">
        <v>7670</v>
      </c>
      <c r="I549" s="132" t="s">
        <v>31</v>
      </c>
      <c r="J549" s="133" t="s">
        <v>32</v>
      </c>
      <c r="K549" s="134" t="s">
        <v>1305</v>
      </c>
      <c r="L549" s="307">
        <f t="shared" si="76"/>
        <v>31655.95</v>
      </c>
      <c r="M549" s="308"/>
      <c r="N549" s="308">
        <v>31655.95</v>
      </c>
      <c r="O549" s="312"/>
      <c r="P549" s="312"/>
      <c r="Q549" s="312"/>
      <c r="R549" s="167"/>
      <c r="S549" s="68">
        <f t="shared" si="77"/>
        <v>31655.95</v>
      </c>
      <c r="T549" s="68"/>
      <c r="U549" s="68"/>
      <c r="V549" s="10"/>
      <c r="W549" s="68"/>
      <c r="X549" s="68"/>
      <c r="Y549" s="68"/>
      <c r="Z549" s="68"/>
      <c r="AA549" s="68"/>
      <c r="AB549" s="68"/>
      <c r="AC549" s="68"/>
      <c r="AD549" s="68"/>
      <c r="AE549" s="68"/>
      <c r="AF549" s="68"/>
      <c r="AG549" s="68"/>
      <c r="AH549" s="68"/>
      <c r="AI549" s="71"/>
      <c r="AJ549" s="140">
        <v>100</v>
      </c>
      <c r="AK549" s="135">
        <v>2021</v>
      </c>
      <c r="AL549" s="136"/>
      <c r="AM549" s="139"/>
    </row>
    <row r="550" spans="1:39" s="66" customFormat="1" ht="82.5">
      <c r="A550" s="72" t="s">
        <v>881</v>
      </c>
      <c r="B550" s="72"/>
      <c r="C550" s="72"/>
      <c r="D550" s="72"/>
      <c r="E550" s="120"/>
      <c r="F550" s="120"/>
      <c r="G550" s="132">
        <v>1017670</v>
      </c>
      <c r="H550" s="132">
        <v>7670</v>
      </c>
      <c r="I550" s="132" t="s">
        <v>31</v>
      </c>
      <c r="J550" s="133" t="s">
        <v>32</v>
      </c>
      <c r="K550" s="134" t="s">
        <v>1322</v>
      </c>
      <c r="L550" s="307">
        <f t="shared" si="76"/>
        <v>778200.72</v>
      </c>
      <c r="M550" s="308"/>
      <c r="N550" s="308">
        <v>778200.72</v>
      </c>
      <c r="O550" s="312"/>
      <c r="P550" s="312"/>
      <c r="Q550" s="312"/>
      <c r="R550" s="167"/>
      <c r="S550" s="68">
        <f t="shared" si="77"/>
        <v>778200.72</v>
      </c>
      <c r="T550" s="68"/>
      <c r="U550" s="68"/>
      <c r="V550" s="10"/>
      <c r="W550" s="68"/>
      <c r="X550" s="68"/>
      <c r="Y550" s="68"/>
      <c r="Z550" s="68"/>
      <c r="AA550" s="68"/>
      <c r="AB550" s="68"/>
      <c r="AC550" s="68"/>
      <c r="AD550" s="68"/>
      <c r="AE550" s="68"/>
      <c r="AF550" s="68"/>
      <c r="AG550" s="68"/>
      <c r="AH550" s="68"/>
      <c r="AI550" s="71"/>
      <c r="AJ550" s="140">
        <v>100</v>
      </c>
      <c r="AK550" s="135" t="s">
        <v>255</v>
      </c>
      <c r="AL550" s="136">
        <v>5699867.4299999997</v>
      </c>
      <c r="AM550" s="139">
        <v>86</v>
      </c>
    </row>
    <row r="551" spans="1:39" s="66" customFormat="1" ht="82.5">
      <c r="A551" s="72" t="s">
        <v>881</v>
      </c>
      <c r="B551" s="72"/>
      <c r="C551" s="72"/>
      <c r="D551" s="72"/>
      <c r="E551" s="120"/>
      <c r="F551" s="120"/>
      <c r="G551" s="132">
        <v>1017670</v>
      </c>
      <c r="H551" s="132">
        <v>7670</v>
      </c>
      <c r="I551" s="132" t="s">
        <v>31</v>
      </c>
      <c r="J551" s="133" t="s">
        <v>32</v>
      </c>
      <c r="K551" s="134" t="s">
        <v>1323</v>
      </c>
      <c r="L551" s="307">
        <f t="shared" si="76"/>
        <v>690143.33</v>
      </c>
      <c r="M551" s="308"/>
      <c r="N551" s="308">
        <v>690143.33</v>
      </c>
      <c r="O551" s="312"/>
      <c r="P551" s="312"/>
      <c r="Q551" s="312"/>
      <c r="R551" s="167"/>
      <c r="S551" s="68">
        <f t="shared" si="77"/>
        <v>690143.33</v>
      </c>
      <c r="T551" s="68"/>
      <c r="U551" s="68"/>
      <c r="V551" s="10"/>
      <c r="W551" s="68"/>
      <c r="X551" s="68"/>
      <c r="Y551" s="68"/>
      <c r="Z551" s="68"/>
      <c r="AA551" s="68"/>
      <c r="AB551" s="68"/>
      <c r="AC551" s="68"/>
      <c r="AD551" s="68"/>
      <c r="AE551" s="68"/>
      <c r="AF551" s="68"/>
      <c r="AG551" s="68"/>
      <c r="AH551" s="68"/>
      <c r="AI551" s="71"/>
      <c r="AJ551" s="140">
        <v>40</v>
      </c>
      <c r="AK551" s="135" t="s">
        <v>413</v>
      </c>
      <c r="AL551" s="136">
        <v>3344516</v>
      </c>
      <c r="AM551" s="139">
        <v>19.434800132515438</v>
      </c>
    </row>
    <row r="552" spans="1:39" s="66" customFormat="1" ht="82.5">
      <c r="A552" s="72" t="s">
        <v>881</v>
      </c>
      <c r="B552" s="72"/>
      <c r="C552" s="72"/>
      <c r="D552" s="72"/>
      <c r="E552" s="120"/>
      <c r="F552" s="120"/>
      <c r="G552" s="132">
        <v>1017670</v>
      </c>
      <c r="H552" s="132">
        <v>7670</v>
      </c>
      <c r="I552" s="132" t="s">
        <v>31</v>
      </c>
      <c r="J552" s="133" t="s">
        <v>32</v>
      </c>
      <c r="K552" s="134" t="s">
        <v>1324</v>
      </c>
      <c r="L552" s="307">
        <f t="shared" si="76"/>
        <v>150000</v>
      </c>
      <c r="M552" s="308"/>
      <c r="N552" s="308">
        <v>150000</v>
      </c>
      <c r="O552" s="312"/>
      <c r="P552" s="312"/>
      <c r="Q552" s="312"/>
      <c r="R552" s="167"/>
      <c r="S552" s="68">
        <f t="shared" si="77"/>
        <v>150000</v>
      </c>
      <c r="T552" s="68"/>
      <c r="U552" s="68"/>
      <c r="V552" s="10"/>
      <c r="W552" s="68"/>
      <c r="X552" s="68"/>
      <c r="Y552" s="68"/>
      <c r="Z552" s="68"/>
      <c r="AA552" s="68"/>
      <c r="AB552" s="68"/>
      <c r="AC552" s="68"/>
      <c r="AD552" s="68"/>
      <c r="AE552" s="68"/>
      <c r="AF552" s="68"/>
      <c r="AG552" s="68"/>
      <c r="AH552" s="68"/>
      <c r="AI552" s="71"/>
      <c r="AJ552" s="140">
        <v>17</v>
      </c>
      <c r="AK552" s="135" t="s">
        <v>272</v>
      </c>
      <c r="AL552" s="136">
        <v>3778612</v>
      </c>
      <c r="AM552" s="139">
        <v>13</v>
      </c>
    </row>
    <row r="553" spans="1:39" s="66" customFormat="1" ht="49.5">
      <c r="A553" s="72" t="s">
        <v>881</v>
      </c>
      <c r="B553" s="72"/>
      <c r="C553" s="72"/>
      <c r="D553" s="72"/>
      <c r="E553" s="120"/>
      <c r="F553" s="120"/>
      <c r="G553" s="132">
        <v>1017670</v>
      </c>
      <c r="H553" s="132">
        <v>7670</v>
      </c>
      <c r="I553" s="132" t="s">
        <v>31</v>
      </c>
      <c r="J553" s="133" t="s">
        <v>32</v>
      </c>
      <c r="K553" s="134" t="s">
        <v>1325</v>
      </c>
      <c r="L553" s="307">
        <f t="shared" si="76"/>
        <v>500000</v>
      </c>
      <c r="M553" s="308"/>
      <c r="N553" s="308">
        <v>500000</v>
      </c>
      <c r="O553" s="312"/>
      <c r="P553" s="312"/>
      <c r="Q553" s="312"/>
      <c r="R553" s="167"/>
      <c r="S553" s="68">
        <f t="shared" si="77"/>
        <v>500000</v>
      </c>
      <c r="T553" s="68"/>
      <c r="U553" s="68"/>
      <c r="V553" s="10"/>
      <c r="W553" s="68"/>
      <c r="X553" s="68"/>
      <c r="Y553" s="68"/>
      <c r="Z553" s="68"/>
      <c r="AA553" s="68"/>
      <c r="AB553" s="68"/>
      <c r="AC553" s="68"/>
      <c r="AD553" s="68"/>
      <c r="AE553" s="68"/>
      <c r="AF553" s="68"/>
      <c r="AG553" s="68"/>
      <c r="AH553" s="68"/>
      <c r="AI553" s="71"/>
      <c r="AJ553" s="140">
        <v>100</v>
      </c>
      <c r="AK553" s="135">
        <v>2021</v>
      </c>
      <c r="AL553" s="136">
        <v>500000</v>
      </c>
      <c r="AM553" s="139"/>
    </row>
    <row r="554" spans="1:39" s="66" customFormat="1" ht="82.5">
      <c r="A554" s="72" t="s">
        <v>881</v>
      </c>
      <c r="B554" s="72"/>
      <c r="C554" s="72"/>
      <c r="D554" s="72"/>
      <c r="E554" s="120"/>
      <c r="F554" s="120"/>
      <c r="G554" s="132">
        <v>1017670</v>
      </c>
      <c r="H554" s="132">
        <v>7670</v>
      </c>
      <c r="I554" s="132" t="s">
        <v>31</v>
      </c>
      <c r="J554" s="133" t="s">
        <v>32</v>
      </c>
      <c r="K554" s="134" t="s">
        <v>1306</v>
      </c>
      <c r="L554" s="307">
        <f t="shared" si="76"/>
        <v>2000000</v>
      </c>
      <c r="M554" s="308"/>
      <c r="N554" s="308">
        <v>2000000</v>
      </c>
      <c r="O554" s="312"/>
      <c r="P554" s="312"/>
      <c r="Q554" s="312"/>
      <c r="R554" s="167"/>
      <c r="S554" s="68">
        <f t="shared" si="77"/>
        <v>2000000</v>
      </c>
      <c r="T554" s="68"/>
      <c r="U554" s="68"/>
      <c r="V554" s="10"/>
      <c r="W554" s="68"/>
      <c r="X554" s="68"/>
      <c r="Y554" s="68"/>
      <c r="Z554" s="68"/>
      <c r="AA554" s="68"/>
      <c r="AB554" s="68"/>
      <c r="AC554" s="68"/>
      <c r="AD554" s="68"/>
      <c r="AE554" s="68"/>
      <c r="AF554" s="68"/>
      <c r="AG554" s="68"/>
      <c r="AH554" s="68"/>
      <c r="AI554" s="71"/>
      <c r="AJ554" s="140">
        <v>100</v>
      </c>
      <c r="AK554" s="135">
        <v>2021</v>
      </c>
      <c r="AL554" s="136">
        <v>0</v>
      </c>
      <c r="AM554" s="139"/>
    </row>
    <row r="555" spans="1:39" s="66" customFormat="1" ht="66">
      <c r="A555" s="72" t="s">
        <v>881</v>
      </c>
      <c r="B555" s="72"/>
      <c r="C555" s="72"/>
      <c r="D555" s="72"/>
      <c r="E555" s="120"/>
      <c r="F555" s="120"/>
      <c r="G555" s="132">
        <v>1017670</v>
      </c>
      <c r="H555" s="132">
        <v>7670</v>
      </c>
      <c r="I555" s="132" t="s">
        <v>31</v>
      </c>
      <c r="J555" s="133" t="s">
        <v>32</v>
      </c>
      <c r="K555" s="134" t="s">
        <v>1326</v>
      </c>
      <c r="L555" s="307">
        <f t="shared" si="76"/>
        <v>2004282</v>
      </c>
      <c r="M555" s="308"/>
      <c r="N555" s="308">
        <v>2004282</v>
      </c>
      <c r="O555" s="312"/>
      <c r="P555" s="312"/>
      <c r="Q555" s="312"/>
      <c r="R555" s="167"/>
      <c r="S555" s="68">
        <f t="shared" si="77"/>
        <v>2004282</v>
      </c>
      <c r="T555" s="68"/>
      <c r="U555" s="68"/>
      <c r="V555" s="10"/>
      <c r="W555" s="68"/>
      <c r="X555" s="68"/>
      <c r="Y555" s="68"/>
      <c r="Z555" s="68"/>
      <c r="AA555" s="68"/>
      <c r="AB555" s="68"/>
      <c r="AC555" s="68"/>
      <c r="AD555" s="68"/>
      <c r="AE555" s="68"/>
      <c r="AF555" s="68"/>
      <c r="AG555" s="68"/>
      <c r="AH555" s="68"/>
      <c r="AI555" s="71"/>
      <c r="AJ555" s="140">
        <v>100</v>
      </c>
      <c r="AK555" s="135" t="s">
        <v>347</v>
      </c>
      <c r="AL555" s="136">
        <v>6930853</v>
      </c>
      <c r="AM555" s="139">
        <v>69.13379925962937</v>
      </c>
    </row>
    <row r="556" spans="1:39" s="66" customFormat="1" ht="99">
      <c r="A556" s="72" t="s">
        <v>881</v>
      </c>
      <c r="B556" s="72"/>
      <c r="C556" s="72"/>
      <c r="D556" s="72"/>
      <c r="E556" s="120"/>
      <c r="F556" s="120"/>
      <c r="G556" s="132">
        <v>1017670</v>
      </c>
      <c r="H556" s="132">
        <v>7670</v>
      </c>
      <c r="I556" s="132" t="s">
        <v>31</v>
      </c>
      <c r="J556" s="133" t="s">
        <v>32</v>
      </c>
      <c r="K556" s="134" t="s">
        <v>1327</v>
      </c>
      <c r="L556" s="307">
        <f t="shared" si="76"/>
        <v>13995718</v>
      </c>
      <c r="M556" s="308"/>
      <c r="N556" s="308">
        <v>13995718</v>
      </c>
      <c r="O556" s="312"/>
      <c r="P556" s="312"/>
      <c r="Q556" s="312"/>
      <c r="R556" s="167"/>
      <c r="S556" s="68">
        <f t="shared" si="77"/>
        <v>13995718</v>
      </c>
      <c r="T556" s="68"/>
      <c r="U556" s="68"/>
      <c r="V556" s="10"/>
      <c r="W556" s="68"/>
      <c r="X556" s="68"/>
      <c r="Y556" s="68"/>
      <c r="Z556" s="68"/>
      <c r="AA556" s="68"/>
      <c r="AB556" s="68"/>
      <c r="AC556" s="68"/>
      <c r="AD556" s="68"/>
      <c r="AE556" s="68"/>
      <c r="AF556" s="68"/>
      <c r="AG556" s="68"/>
      <c r="AH556" s="68"/>
      <c r="AI556" s="71"/>
      <c r="AJ556" s="140">
        <v>68</v>
      </c>
      <c r="AK556" s="135" t="s">
        <v>272</v>
      </c>
      <c r="AL556" s="136">
        <v>36664191</v>
      </c>
      <c r="AM556" s="139">
        <v>29.599611239206123</v>
      </c>
    </row>
    <row r="557" spans="1:39" s="66" customFormat="1" ht="82.5">
      <c r="A557" s="72" t="s">
        <v>881</v>
      </c>
      <c r="B557" s="72"/>
      <c r="C557" s="72"/>
      <c r="D557" s="72"/>
      <c r="E557" s="120"/>
      <c r="F557" s="120"/>
      <c r="G557" s="132">
        <v>1017670</v>
      </c>
      <c r="H557" s="132">
        <v>7670</v>
      </c>
      <c r="I557" s="132" t="s">
        <v>31</v>
      </c>
      <c r="J557" s="133" t="s">
        <v>32</v>
      </c>
      <c r="K557" s="134" t="s">
        <v>1328</v>
      </c>
      <c r="L557" s="307">
        <f t="shared" si="76"/>
        <v>190000</v>
      </c>
      <c r="M557" s="308"/>
      <c r="N557" s="308">
        <v>190000</v>
      </c>
      <c r="O557" s="312"/>
      <c r="P557" s="312"/>
      <c r="Q557" s="312"/>
      <c r="R557" s="167"/>
      <c r="S557" s="68">
        <f t="shared" si="77"/>
        <v>190000</v>
      </c>
      <c r="T557" s="68"/>
      <c r="U557" s="68"/>
      <c r="V557" s="10"/>
      <c r="W557" s="68"/>
      <c r="X557" s="68"/>
      <c r="Y557" s="68"/>
      <c r="Z557" s="68"/>
      <c r="AA557" s="68"/>
      <c r="AB557" s="68"/>
      <c r="AC557" s="68"/>
      <c r="AD557" s="68"/>
      <c r="AE557" s="68"/>
      <c r="AF557" s="68"/>
      <c r="AG557" s="68"/>
      <c r="AH557" s="68"/>
      <c r="AI557" s="71"/>
      <c r="AJ557" s="140">
        <v>100</v>
      </c>
      <c r="AK557" s="135">
        <v>2021</v>
      </c>
      <c r="AL557" s="136">
        <v>190000</v>
      </c>
      <c r="AM557" s="139"/>
    </row>
    <row r="558" spans="1:39" s="66" customFormat="1" ht="66">
      <c r="A558" s="72" t="s">
        <v>881</v>
      </c>
      <c r="B558" s="72"/>
      <c r="C558" s="72"/>
      <c r="D558" s="72"/>
      <c r="E558" s="120"/>
      <c r="F558" s="120"/>
      <c r="G558" s="132">
        <v>1017670</v>
      </c>
      <c r="H558" s="132">
        <v>7670</v>
      </c>
      <c r="I558" s="132" t="s">
        <v>31</v>
      </c>
      <c r="J558" s="133" t="s">
        <v>32</v>
      </c>
      <c r="K558" s="134" t="s">
        <v>1329</v>
      </c>
      <c r="L558" s="307">
        <f t="shared" ref="L558:L562" si="78">SUM(M558:Q558)</f>
        <v>180000</v>
      </c>
      <c r="M558" s="308"/>
      <c r="N558" s="308">
        <v>180000</v>
      </c>
      <c r="O558" s="312"/>
      <c r="P558" s="312"/>
      <c r="Q558" s="312"/>
      <c r="R558" s="167"/>
      <c r="S558" s="68">
        <f t="shared" si="77"/>
        <v>180000</v>
      </c>
      <c r="T558" s="68"/>
      <c r="U558" s="68"/>
      <c r="V558" s="10"/>
      <c r="W558" s="68"/>
      <c r="X558" s="68"/>
      <c r="Y558" s="68"/>
      <c r="Z558" s="68"/>
      <c r="AA558" s="68"/>
      <c r="AB558" s="68"/>
      <c r="AC558" s="68"/>
      <c r="AD558" s="68"/>
      <c r="AE558" s="68"/>
      <c r="AF558" s="68"/>
      <c r="AG558" s="68"/>
      <c r="AH558" s="68"/>
      <c r="AI558" s="71"/>
      <c r="AJ558" s="140">
        <v>100</v>
      </c>
      <c r="AK558" s="135">
        <v>2021</v>
      </c>
      <c r="AL558" s="136">
        <v>180000</v>
      </c>
      <c r="AM558" s="139"/>
    </row>
    <row r="559" spans="1:39" s="66" customFormat="1" ht="99">
      <c r="A559" s="72" t="s">
        <v>881</v>
      </c>
      <c r="B559" s="72"/>
      <c r="C559" s="72"/>
      <c r="D559" s="72"/>
      <c r="E559" s="120"/>
      <c r="F559" s="120"/>
      <c r="G559" s="132">
        <v>1017670</v>
      </c>
      <c r="H559" s="132">
        <v>7670</v>
      </c>
      <c r="I559" s="132" t="s">
        <v>31</v>
      </c>
      <c r="J559" s="133" t="s">
        <v>32</v>
      </c>
      <c r="K559" s="134" t="s">
        <v>1330</v>
      </c>
      <c r="L559" s="307">
        <f t="shared" si="78"/>
        <v>598433.13</v>
      </c>
      <c r="M559" s="308"/>
      <c r="N559" s="308">
        <v>598433.13</v>
      </c>
      <c r="O559" s="312"/>
      <c r="P559" s="312"/>
      <c r="Q559" s="312"/>
      <c r="R559" s="167"/>
      <c r="S559" s="68">
        <f t="shared" si="77"/>
        <v>598433.13</v>
      </c>
      <c r="T559" s="68"/>
      <c r="U559" s="68"/>
      <c r="V559" s="10"/>
      <c r="W559" s="68"/>
      <c r="X559" s="68"/>
      <c r="Y559" s="68"/>
      <c r="Z559" s="68"/>
      <c r="AA559" s="68"/>
      <c r="AB559" s="68"/>
      <c r="AC559" s="68"/>
      <c r="AD559" s="68"/>
      <c r="AE559" s="68"/>
      <c r="AF559" s="68"/>
      <c r="AG559" s="68"/>
      <c r="AH559" s="68"/>
      <c r="AI559" s="71"/>
      <c r="AJ559" s="140">
        <v>100</v>
      </c>
      <c r="AK559" s="135" t="s">
        <v>347</v>
      </c>
      <c r="AL559" s="136">
        <v>2059168</v>
      </c>
      <c r="AM559" s="139">
        <v>70.938110440721687</v>
      </c>
    </row>
    <row r="560" spans="1:39" s="66" customFormat="1" ht="66">
      <c r="A560" s="72" t="s">
        <v>881</v>
      </c>
      <c r="B560" s="72"/>
      <c r="C560" s="72"/>
      <c r="D560" s="72"/>
      <c r="E560" s="120"/>
      <c r="F560" s="120"/>
      <c r="G560" s="132">
        <v>1017670</v>
      </c>
      <c r="H560" s="132">
        <v>7670</v>
      </c>
      <c r="I560" s="132" t="s">
        <v>31</v>
      </c>
      <c r="J560" s="133" t="s">
        <v>32</v>
      </c>
      <c r="K560" s="134" t="s">
        <v>1331</v>
      </c>
      <c r="L560" s="307">
        <f t="shared" si="78"/>
        <v>181566.87</v>
      </c>
      <c r="M560" s="308"/>
      <c r="N560" s="308">
        <v>181566.87</v>
      </c>
      <c r="O560" s="312"/>
      <c r="P560" s="312"/>
      <c r="Q560" s="312"/>
      <c r="R560" s="167"/>
      <c r="S560" s="68">
        <f t="shared" si="77"/>
        <v>181566.87</v>
      </c>
      <c r="T560" s="68"/>
      <c r="U560" s="68"/>
      <c r="V560" s="10"/>
      <c r="W560" s="68"/>
      <c r="X560" s="68"/>
      <c r="Y560" s="68"/>
      <c r="Z560" s="68"/>
      <c r="AA560" s="68"/>
      <c r="AB560" s="68"/>
      <c r="AC560" s="68"/>
      <c r="AD560" s="68"/>
      <c r="AE560" s="68"/>
      <c r="AF560" s="68"/>
      <c r="AG560" s="68"/>
      <c r="AH560" s="68"/>
      <c r="AI560" s="71"/>
      <c r="AJ560" s="140">
        <v>99.9</v>
      </c>
      <c r="AK560" s="135" t="s">
        <v>271</v>
      </c>
      <c r="AL560" s="136">
        <v>564914.87</v>
      </c>
      <c r="AM560" s="139">
        <v>67.753394418525403</v>
      </c>
    </row>
    <row r="561" spans="1:39" s="66" customFormat="1" ht="66">
      <c r="A561" s="72" t="s">
        <v>881</v>
      </c>
      <c r="B561" s="72"/>
      <c r="C561" s="72"/>
      <c r="D561" s="72"/>
      <c r="E561" s="120"/>
      <c r="F561" s="120"/>
      <c r="G561" s="132">
        <v>1017670</v>
      </c>
      <c r="H561" s="132">
        <v>7670</v>
      </c>
      <c r="I561" s="132" t="s">
        <v>31</v>
      </c>
      <c r="J561" s="133" t="s">
        <v>32</v>
      </c>
      <c r="K561" s="134" t="s">
        <v>1332</v>
      </c>
      <c r="L561" s="307">
        <f t="shared" si="78"/>
        <v>190000</v>
      </c>
      <c r="M561" s="308"/>
      <c r="N561" s="308">
        <v>190000</v>
      </c>
      <c r="O561" s="312"/>
      <c r="P561" s="312"/>
      <c r="Q561" s="312"/>
      <c r="R561" s="167"/>
      <c r="S561" s="68">
        <f t="shared" si="77"/>
        <v>190000</v>
      </c>
      <c r="T561" s="68"/>
      <c r="U561" s="68"/>
      <c r="V561" s="10"/>
      <c r="W561" s="68"/>
      <c r="X561" s="68"/>
      <c r="Y561" s="68"/>
      <c r="Z561" s="68"/>
      <c r="AA561" s="68"/>
      <c r="AB561" s="68"/>
      <c r="AC561" s="68"/>
      <c r="AD561" s="68"/>
      <c r="AE561" s="68"/>
      <c r="AF561" s="68"/>
      <c r="AG561" s="68"/>
      <c r="AH561" s="68"/>
      <c r="AI561" s="71"/>
      <c r="AJ561" s="140">
        <v>100</v>
      </c>
      <c r="AK561" s="135">
        <v>2021</v>
      </c>
      <c r="AL561" s="136">
        <v>190000</v>
      </c>
      <c r="AM561" s="139"/>
    </row>
    <row r="562" spans="1:39" s="66" customFormat="1" ht="66">
      <c r="A562" s="72" t="s">
        <v>881</v>
      </c>
      <c r="B562" s="72"/>
      <c r="C562" s="72"/>
      <c r="D562" s="72"/>
      <c r="E562" s="120"/>
      <c r="F562" s="120"/>
      <c r="G562" s="132">
        <v>1017670</v>
      </c>
      <c r="H562" s="132">
        <v>7670</v>
      </c>
      <c r="I562" s="132" t="s">
        <v>31</v>
      </c>
      <c r="J562" s="133" t="s">
        <v>32</v>
      </c>
      <c r="K562" s="134" t="s">
        <v>1333</v>
      </c>
      <c r="L562" s="307">
        <f t="shared" si="78"/>
        <v>160000</v>
      </c>
      <c r="M562" s="308"/>
      <c r="N562" s="308">
        <v>160000</v>
      </c>
      <c r="O562" s="312"/>
      <c r="P562" s="312"/>
      <c r="Q562" s="312"/>
      <c r="R562" s="167"/>
      <c r="S562" s="68">
        <f t="shared" si="77"/>
        <v>160000</v>
      </c>
      <c r="T562" s="68"/>
      <c r="U562" s="68"/>
      <c r="V562" s="10"/>
      <c r="W562" s="68"/>
      <c r="X562" s="68"/>
      <c r="Y562" s="68"/>
      <c r="Z562" s="68"/>
      <c r="AA562" s="68"/>
      <c r="AB562" s="68"/>
      <c r="AC562" s="68"/>
      <c r="AD562" s="68"/>
      <c r="AE562" s="68"/>
      <c r="AF562" s="68"/>
      <c r="AG562" s="68"/>
      <c r="AH562" s="68"/>
      <c r="AI562" s="71"/>
      <c r="AJ562" s="140">
        <v>100</v>
      </c>
      <c r="AK562" s="135">
        <v>2021</v>
      </c>
      <c r="AL562" s="136">
        <v>160000</v>
      </c>
      <c r="AM562" s="139"/>
    </row>
    <row r="563" spans="1:39" s="198" customFormat="1">
      <c r="A563" s="193" t="s">
        <v>882</v>
      </c>
      <c r="B563" s="181" t="s">
        <v>193</v>
      </c>
      <c r="C563" s="181"/>
      <c r="D563" s="181"/>
      <c r="E563" s="182" t="s">
        <v>1225</v>
      </c>
      <c r="F563" s="182"/>
      <c r="G563" s="183" t="s">
        <v>61</v>
      </c>
      <c r="H563" s="183"/>
      <c r="I563" s="183"/>
      <c r="J563" s="184" t="s">
        <v>62</v>
      </c>
      <c r="K563" s="201"/>
      <c r="L563" s="287">
        <f t="shared" ref="L563:Q563" si="79">SUM(L565:L587)</f>
        <v>53000000</v>
      </c>
      <c r="M563" s="288">
        <f t="shared" si="79"/>
        <v>0</v>
      </c>
      <c r="N563" s="289">
        <f t="shared" si="79"/>
        <v>53000000</v>
      </c>
      <c r="O563" s="289">
        <f t="shared" si="79"/>
        <v>0</v>
      </c>
      <c r="P563" s="289">
        <f t="shared" si="79"/>
        <v>0</v>
      </c>
      <c r="Q563" s="289">
        <f t="shared" si="79"/>
        <v>0</v>
      </c>
      <c r="R563" s="187">
        <f t="shared" ref="R563:R564" si="80">L563-M563-N563-O563-P563-Q563</f>
        <v>0</v>
      </c>
      <c r="S563" s="187">
        <f>SUM(S565:S587)</f>
        <v>0</v>
      </c>
      <c r="T563" s="187"/>
      <c r="U563" s="187">
        <f>SUM(U565:U587)</f>
        <v>53000000</v>
      </c>
      <c r="V563" s="187"/>
      <c r="W563" s="187"/>
      <c r="X563" s="187">
        <f>SUM(X565:X587)</f>
        <v>1737220.5</v>
      </c>
      <c r="Y563" s="187">
        <f>SUM(Y565:Y587)</f>
        <v>18101856.530000001</v>
      </c>
      <c r="Z563" s="187"/>
      <c r="AA563" s="187"/>
      <c r="AB563" s="187">
        <f>SUM(AB565:AB587)</f>
        <v>14785750</v>
      </c>
      <c r="AC563" s="187">
        <f>X563+Y563+AB563-N563</f>
        <v>-18375172.969999999</v>
      </c>
      <c r="AD563" s="187">
        <f>SUM(AD565:AD587)</f>
        <v>0</v>
      </c>
      <c r="AE563" s="187">
        <f>SUM(AE565:AE587)</f>
        <v>0</v>
      </c>
      <c r="AF563" s="187">
        <f>SUM(AF565:AF587)</f>
        <v>0</v>
      </c>
      <c r="AG563" s="187">
        <f>SUM(AG565:AG587)</f>
        <v>0</v>
      </c>
      <c r="AH563" s="187">
        <f>SUM(AH565:AH587)</f>
        <v>0</v>
      </c>
      <c r="AI563" s="195"/>
      <c r="AJ563" s="187"/>
      <c r="AK563" s="185"/>
      <c r="AL563" s="196"/>
      <c r="AM563" s="197"/>
    </row>
    <row r="564" spans="1:39" s="198" customFormat="1">
      <c r="A564" s="193" t="s">
        <v>882</v>
      </c>
      <c r="B564" s="193"/>
      <c r="C564" s="193"/>
      <c r="D564" s="193"/>
      <c r="E564" s="182" t="s">
        <v>1225</v>
      </c>
      <c r="F564" s="182"/>
      <c r="G564" s="183" t="s">
        <v>63</v>
      </c>
      <c r="H564" s="183"/>
      <c r="I564" s="183"/>
      <c r="J564" s="190" t="s">
        <v>62</v>
      </c>
      <c r="K564" s="201"/>
      <c r="L564" s="290"/>
      <c r="M564" s="291"/>
      <c r="N564" s="297"/>
      <c r="O564" s="297"/>
      <c r="P564" s="297"/>
      <c r="Q564" s="297"/>
      <c r="R564" s="187">
        <f t="shared" si="80"/>
        <v>0</v>
      </c>
      <c r="S564" s="199"/>
      <c r="T564" s="199"/>
      <c r="U564" s="199"/>
      <c r="V564" s="200"/>
      <c r="W564" s="199"/>
      <c r="X564" s="199"/>
      <c r="Y564" s="199"/>
      <c r="Z564" s="199"/>
      <c r="AA564" s="199"/>
      <c r="AB564" s="199"/>
      <c r="AC564" s="199"/>
      <c r="AD564" s="199"/>
      <c r="AE564" s="199"/>
      <c r="AF564" s="199"/>
      <c r="AG564" s="199"/>
      <c r="AH564" s="199"/>
      <c r="AI564" s="195"/>
      <c r="AJ564" s="199"/>
      <c r="AK564" s="185"/>
      <c r="AL564" s="196"/>
      <c r="AM564" s="197"/>
    </row>
    <row r="565" spans="1:39" s="27" customFormat="1" ht="33">
      <c r="A565" s="34" t="s">
        <v>882</v>
      </c>
      <c r="B565" s="34"/>
      <c r="C565" s="72"/>
      <c r="D565" s="72"/>
      <c r="E565" s="120" t="s">
        <v>1469</v>
      </c>
      <c r="F565" s="120"/>
      <c r="G565" s="132" t="s">
        <v>383</v>
      </c>
      <c r="H565" s="132" t="s">
        <v>15</v>
      </c>
      <c r="I565" s="132" t="s">
        <v>16</v>
      </c>
      <c r="J565" s="133" t="s">
        <v>384</v>
      </c>
      <c r="K565" s="124" t="s">
        <v>18</v>
      </c>
      <c r="L565" s="307">
        <f t="shared" ref="L565:L587" si="81">SUM(M565:Q565)</f>
        <v>28750</v>
      </c>
      <c r="M565" s="308"/>
      <c r="N565" s="308">
        <v>28750</v>
      </c>
      <c r="O565" s="286"/>
      <c r="P565" s="286"/>
      <c r="Q565" s="286"/>
      <c r="R565" s="78"/>
      <c r="S565" s="67">
        <f t="shared" ref="S565:S586" si="82">N565-U565</f>
        <v>0</v>
      </c>
      <c r="T565" s="67"/>
      <c r="U565" s="67">
        <v>28750</v>
      </c>
      <c r="V565" s="9">
        <v>3</v>
      </c>
      <c r="W565" s="19"/>
      <c r="X565" s="19"/>
      <c r="Y565" s="19"/>
      <c r="Z565" s="52"/>
      <c r="AA565" s="52"/>
      <c r="AB565" s="19">
        <v>28750</v>
      </c>
      <c r="AC565" s="19"/>
      <c r="AD565" s="19"/>
      <c r="AE565" s="19"/>
      <c r="AF565" s="19"/>
      <c r="AG565" s="19"/>
      <c r="AH565" s="19"/>
      <c r="AI565" s="14"/>
      <c r="AJ565" s="135"/>
      <c r="AK565" s="135">
        <v>2021</v>
      </c>
      <c r="AL565" s="136"/>
      <c r="AM565" s="139"/>
    </row>
    <row r="566" spans="1:39" s="27" customFormat="1" ht="33">
      <c r="A566" s="34" t="s">
        <v>882</v>
      </c>
      <c r="B566" s="34"/>
      <c r="C566" s="72"/>
      <c r="D566" s="72"/>
      <c r="E566" s="120" t="s">
        <v>1469</v>
      </c>
      <c r="F566" s="120"/>
      <c r="G566" s="132" t="s">
        <v>385</v>
      </c>
      <c r="H566" s="132" t="s">
        <v>386</v>
      </c>
      <c r="I566" s="132" t="s">
        <v>387</v>
      </c>
      <c r="J566" s="133" t="s">
        <v>388</v>
      </c>
      <c r="K566" s="134" t="s">
        <v>849</v>
      </c>
      <c r="L566" s="307">
        <f t="shared" si="81"/>
        <v>800000</v>
      </c>
      <c r="M566" s="308"/>
      <c r="N566" s="308">
        <v>800000</v>
      </c>
      <c r="O566" s="296"/>
      <c r="P566" s="296"/>
      <c r="Q566" s="296"/>
      <c r="R566" s="84"/>
      <c r="S566" s="67">
        <f t="shared" si="82"/>
        <v>0</v>
      </c>
      <c r="T566" s="67"/>
      <c r="U566" s="67">
        <v>800000</v>
      </c>
      <c r="V566" s="9">
        <v>3</v>
      </c>
      <c r="W566" s="19"/>
      <c r="X566" s="19"/>
      <c r="Y566" s="19"/>
      <c r="Z566" s="52"/>
      <c r="AA566" s="52"/>
      <c r="AB566" s="19">
        <v>800000</v>
      </c>
      <c r="AC566" s="19"/>
      <c r="AD566" s="19"/>
      <c r="AE566" s="19"/>
      <c r="AF566" s="19"/>
      <c r="AG566" s="19"/>
      <c r="AH566" s="19"/>
      <c r="AI566" s="14"/>
      <c r="AJ566" s="139"/>
      <c r="AK566" s="135">
        <v>2021</v>
      </c>
      <c r="AL566" s="136"/>
      <c r="AM566" s="139"/>
    </row>
    <row r="567" spans="1:39" s="27" customFormat="1" ht="33">
      <c r="A567" s="34" t="s">
        <v>882</v>
      </c>
      <c r="B567" s="34"/>
      <c r="C567" s="72"/>
      <c r="D567" s="72"/>
      <c r="E567" s="120" t="s">
        <v>1469</v>
      </c>
      <c r="F567" s="120"/>
      <c r="G567" s="132" t="s">
        <v>389</v>
      </c>
      <c r="H567" s="132" t="s">
        <v>390</v>
      </c>
      <c r="I567" s="132" t="s">
        <v>387</v>
      </c>
      <c r="J567" s="133" t="s">
        <v>391</v>
      </c>
      <c r="K567" s="134" t="s">
        <v>850</v>
      </c>
      <c r="L567" s="307">
        <f t="shared" si="81"/>
        <v>800000</v>
      </c>
      <c r="M567" s="308"/>
      <c r="N567" s="308">
        <v>800000</v>
      </c>
      <c r="O567" s="286"/>
      <c r="P567" s="286"/>
      <c r="Q567" s="286"/>
      <c r="R567" s="78"/>
      <c r="S567" s="67">
        <f t="shared" si="82"/>
        <v>0</v>
      </c>
      <c r="T567" s="67"/>
      <c r="U567" s="67">
        <v>800000</v>
      </c>
      <c r="V567" s="9">
        <v>3</v>
      </c>
      <c r="W567" s="19"/>
      <c r="X567" s="19"/>
      <c r="Y567" s="19"/>
      <c r="Z567" s="52"/>
      <c r="AA567" s="52"/>
      <c r="AB567" s="19">
        <v>800000</v>
      </c>
      <c r="AC567" s="19"/>
      <c r="AD567" s="19"/>
      <c r="AE567" s="19"/>
      <c r="AF567" s="19"/>
      <c r="AG567" s="19"/>
      <c r="AH567" s="19"/>
      <c r="AI567" s="14"/>
      <c r="AJ567" s="135"/>
      <c r="AK567" s="135">
        <v>2021</v>
      </c>
      <c r="AL567" s="136"/>
      <c r="AM567" s="139"/>
    </row>
    <row r="568" spans="1:39" s="66" customFormat="1" ht="33">
      <c r="A568" s="72" t="s">
        <v>882</v>
      </c>
      <c r="B568" s="72"/>
      <c r="C568" s="72"/>
      <c r="D568" s="72"/>
      <c r="E568" s="120" t="s">
        <v>1469</v>
      </c>
      <c r="F568" s="120"/>
      <c r="G568" s="132" t="s">
        <v>389</v>
      </c>
      <c r="H568" s="132" t="s">
        <v>390</v>
      </c>
      <c r="I568" s="132" t="s">
        <v>387</v>
      </c>
      <c r="J568" s="133" t="s">
        <v>391</v>
      </c>
      <c r="K568" s="134" t="s">
        <v>850</v>
      </c>
      <c r="L568" s="307">
        <f t="shared" si="81"/>
        <v>1400000</v>
      </c>
      <c r="M568" s="308"/>
      <c r="N568" s="308">
        <v>1400000</v>
      </c>
      <c r="O568" s="286"/>
      <c r="P568" s="286"/>
      <c r="Q568" s="286"/>
      <c r="R568" s="78"/>
      <c r="S568" s="67">
        <f t="shared" si="82"/>
        <v>1400000</v>
      </c>
      <c r="T568" s="67"/>
      <c r="U568" s="67"/>
      <c r="V568" s="69"/>
      <c r="W568" s="67"/>
      <c r="X568" s="67"/>
      <c r="Y568" s="67"/>
      <c r="Z568" s="67"/>
      <c r="AA568" s="67"/>
      <c r="AB568" s="67"/>
      <c r="AC568" s="67"/>
      <c r="AD568" s="67"/>
      <c r="AE568" s="67"/>
      <c r="AF568" s="67"/>
      <c r="AG568" s="67"/>
      <c r="AH568" s="67"/>
      <c r="AI568" s="71"/>
      <c r="AJ568" s="135"/>
      <c r="AK568" s="135">
        <v>2021</v>
      </c>
      <c r="AL568" s="136"/>
      <c r="AM568" s="139"/>
    </row>
    <row r="569" spans="1:39" s="51" customFormat="1" ht="33">
      <c r="A569" s="34" t="s">
        <v>882</v>
      </c>
      <c r="B569" s="34"/>
      <c r="C569" s="72"/>
      <c r="D569" s="72" t="s">
        <v>1220</v>
      </c>
      <c r="E569" s="120" t="s">
        <v>906</v>
      </c>
      <c r="F569" s="120"/>
      <c r="G569" s="132">
        <v>1117325</v>
      </c>
      <c r="H569" s="132">
        <v>7325</v>
      </c>
      <c r="I569" s="132" t="s">
        <v>108</v>
      </c>
      <c r="J569" s="133" t="s">
        <v>222</v>
      </c>
      <c r="K569" s="124" t="s">
        <v>1043</v>
      </c>
      <c r="L569" s="307">
        <f t="shared" si="81"/>
        <v>700000</v>
      </c>
      <c r="M569" s="308">
        <v>-300000</v>
      </c>
      <c r="N569" s="308">
        <f>10000000-9000000</f>
        <v>1000000</v>
      </c>
      <c r="O569" s="286"/>
      <c r="P569" s="286"/>
      <c r="Q569" s="286"/>
      <c r="R569" s="78"/>
      <c r="S569" s="67">
        <f t="shared" si="82"/>
        <v>-9000000</v>
      </c>
      <c r="T569" s="67"/>
      <c r="U569" s="41">
        <f>10000000</f>
        <v>10000000</v>
      </c>
      <c r="V569" s="55"/>
      <c r="W569" s="52"/>
      <c r="X569" s="52"/>
      <c r="Y569" s="52"/>
      <c r="Z569" s="52">
        <v>10000000</v>
      </c>
      <c r="AA569" s="52"/>
      <c r="AB569" s="52"/>
      <c r="AC569" s="52"/>
      <c r="AD569" s="52"/>
      <c r="AE569" s="52"/>
      <c r="AF569" s="52"/>
      <c r="AG569" s="52"/>
      <c r="AH569" s="52"/>
      <c r="AI569" s="14"/>
      <c r="AJ569" s="135"/>
      <c r="AK569" s="135">
        <v>2021</v>
      </c>
      <c r="AL569" s="136"/>
      <c r="AM569" s="139"/>
    </row>
    <row r="570" spans="1:39" s="27" customFormat="1" ht="33">
      <c r="A570" s="34" t="s">
        <v>882</v>
      </c>
      <c r="B570" s="34"/>
      <c r="C570" s="72"/>
      <c r="D570" s="72"/>
      <c r="E570" s="120" t="s">
        <v>904</v>
      </c>
      <c r="F570" s="120"/>
      <c r="G570" s="132" t="s">
        <v>220</v>
      </c>
      <c r="H570" s="132" t="s">
        <v>221</v>
      </c>
      <c r="I570" s="132" t="s">
        <v>108</v>
      </c>
      <c r="J570" s="133" t="s">
        <v>222</v>
      </c>
      <c r="K570" s="134" t="s">
        <v>1149</v>
      </c>
      <c r="L570" s="307">
        <f t="shared" si="81"/>
        <v>9500000</v>
      </c>
      <c r="M570" s="308"/>
      <c r="N570" s="308">
        <f>5000000-500000+5000000</f>
        <v>9500000</v>
      </c>
      <c r="O570" s="286"/>
      <c r="P570" s="286"/>
      <c r="Q570" s="286"/>
      <c r="R570" s="78"/>
      <c r="S570" s="67">
        <f t="shared" si="82"/>
        <v>5000000</v>
      </c>
      <c r="T570" s="67"/>
      <c r="U570" s="60">
        <f>5000000-500000</f>
        <v>4500000</v>
      </c>
      <c r="V570" s="9">
        <v>2</v>
      </c>
      <c r="W570" s="19" t="s">
        <v>273</v>
      </c>
      <c r="X570" s="19">
        <v>74827.03</v>
      </c>
      <c r="Y570" s="19">
        <v>5000000</v>
      </c>
      <c r="Z570" s="52"/>
      <c r="AA570" s="52"/>
      <c r="AB570" s="19"/>
      <c r="AC570" s="19"/>
      <c r="AD570" s="19"/>
      <c r="AE570" s="19"/>
      <c r="AF570" s="19"/>
      <c r="AG570" s="19"/>
      <c r="AH570" s="19"/>
      <c r="AI570" s="14"/>
      <c r="AJ570" s="135">
        <v>20</v>
      </c>
      <c r="AK570" s="135" t="s">
        <v>272</v>
      </c>
      <c r="AL570" s="136">
        <v>50513164</v>
      </c>
      <c r="AM570" s="139">
        <v>10</v>
      </c>
    </row>
    <row r="571" spans="1:39" s="66" customFormat="1" ht="33">
      <c r="A571" s="72" t="s">
        <v>882</v>
      </c>
      <c r="B571" s="72"/>
      <c r="C571" s="72"/>
      <c r="D571" s="72"/>
      <c r="E571" s="120"/>
      <c r="F571" s="120"/>
      <c r="G571" s="132" t="s">
        <v>220</v>
      </c>
      <c r="H571" s="132" t="s">
        <v>221</v>
      </c>
      <c r="I571" s="132" t="s">
        <v>108</v>
      </c>
      <c r="J571" s="133" t="s">
        <v>222</v>
      </c>
      <c r="K571" s="134" t="s">
        <v>1336</v>
      </c>
      <c r="L571" s="307">
        <f t="shared" si="81"/>
        <v>1000000</v>
      </c>
      <c r="M571" s="308"/>
      <c r="N571" s="308">
        <v>1000000</v>
      </c>
      <c r="O571" s="286"/>
      <c r="P571" s="286"/>
      <c r="Q571" s="286"/>
      <c r="R571" s="78"/>
      <c r="S571" s="67">
        <f t="shared" si="82"/>
        <v>1000000</v>
      </c>
      <c r="T571" s="67"/>
      <c r="U571" s="60"/>
      <c r="V571" s="69"/>
      <c r="W571" s="67"/>
      <c r="X571" s="67"/>
      <c r="Y571" s="67"/>
      <c r="Z571" s="67"/>
      <c r="AA571" s="67"/>
      <c r="AB571" s="67"/>
      <c r="AC571" s="67"/>
      <c r="AD571" s="67"/>
      <c r="AE571" s="67"/>
      <c r="AF571" s="67"/>
      <c r="AG571" s="67"/>
      <c r="AH571" s="67"/>
      <c r="AI571" s="71"/>
      <c r="AJ571" s="135"/>
      <c r="AK571" s="135">
        <v>2021</v>
      </c>
      <c r="AL571" s="136"/>
      <c r="AM571" s="139"/>
    </row>
    <row r="572" spans="1:39" s="66" customFormat="1" ht="33">
      <c r="A572" s="72" t="s">
        <v>882</v>
      </c>
      <c r="B572" s="72"/>
      <c r="C572" s="72"/>
      <c r="D572" s="72"/>
      <c r="E572" s="120"/>
      <c r="F572" s="120"/>
      <c r="G572" s="132" t="s">
        <v>220</v>
      </c>
      <c r="H572" s="132" t="s">
        <v>221</v>
      </c>
      <c r="I572" s="132" t="s">
        <v>108</v>
      </c>
      <c r="J572" s="133" t="s">
        <v>222</v>
      </c>
      <c r="K572" s="134" t="s">
        <v>1337</v>
      </c>
      <c r="L572" s="307">
        <f t="shared" si="81"/>
        <v>300000</v>
      </c>
      <c r="M572" s="308"/>
      <c r="N572" s="308">
        <v>300000</v>
      </c>
      <c r="O572" s="286"/>
      <c r="P572" s="286"/>
      <c r="Q572" s="286"/>
      <c r="R572" s="78"/>
      <c r="S572" s="67">
        <f t="shared" si="82"/>
        <v>300000</v>
      </c>
      <c r="T572" s="67"/>
      <c r="U572" s="60"/>
      <c r="V572" s="69"/>
      <c r="W572" s="67"/>
      <c r="X572" s="67"/>
      <c r="Y572" s="67"/>
      <c r="Z572" s="67"/>
      <c r="AA572" s="67"/>
      <c r="AB572" s="67"/>
      <c r="AC572" s="67"/>
      <c r="AD572" s="67"/>
      <c r="AE572" s="67"/>
      <c r="AF572" s="67"/>
      <c r="AG572" s="67"/>
      <c r="AH572" s="67"/>
      <c r="AI572" s="71"/>
      <c r="AJ572" s="135"/>
      <c r="AK572" s="135">
        <v>2021</v>
      </c>
      <c r="AL572" s="136"/>
      <c r="AM572" s="139"/>
    </row>
    <row r="573" spans="1:39" s="51" customFormat="1" ht="33">
      <c r="A573" s="34" t="s">
        <v>882</v>
      </c>
      <c r="B573" s="34"/>
      <c r="C573" s="72"/>
      <c r="D573" s="72"/>
      <c r="E573" s="120" t="s">
        <v>902</v>
      </c>
      <c r="F573" s="120"/>
      <c r="G573" s="132" t="s">
        <v>220</v>
      </c>
      <c r="H573" s="132" t="s">
        <v>221</v>
      </c>
      <c r="I573" s="132" t="s">
        <v>108</v>
      </c>
      <c r="J573" s="133" t="s">
        <v>222</v>
      </c>
      <c r="K573" s="134" t="s">
        <v>1029</v>
      </c>
      <c r="L573" s="307">
        <f t="shared" si="81"/>
        <v>500000</v>
      </c>
      <c r="M573" s="308"/>
      <c r="N573" s="308">
        <v>500000</v>
      </c>
      <c r="O573" s="286"/>
      <c r="P573" s="286"/>
      <c r="Q573" s="286"/>
      <c r="R573" s="78"/>
      <c r="S573" s="67">
        <f t="shared" si="82"/>
        <v>0</v>
      </c>
      <c r="T573" s="67"/>
      <c r="U573" s="60">
        <v>500000</v>
      </c>
      <c r="V573" s="55" t="s">
        <v>1030</v>
      </c>
      <c r="W573" s="52" t="s">
        <v>254</v>
      </c>
      <c r="X573" s="52"/>
      <c r="Y573" s="52"/>
      <c r="Z573" s="52"/>
      <c r="AA573" s="52"/>
      <c r="AB573" s="52"/>
      <c r="AC573" s="52"/>
      <c r="AD573" s="52"/>
      <c r="AE573" s="52"/>
      <c r="AF573" s="52"/>
      <c r="AG573" s="52"/>
      <c r="AH573" s="52"/>
      <c r="AI573" s="14"/>
      <c r="AJ573" s="135">
        <v>70</v>
      </c>
      <c r="AK573" s="135" t="s">
        <v>352</v>
      </c>
      <c r="AL573" s="136">
        <v>12800000</v>
      </c>
      <c r="AM573" s="139">
        <v>60</v>
      </c>
    </row>
    <row r="574" spans="1:39" s="27" customFormat="1" ht="33">
      <c r="A574" s="34" t="s">
        <v>882</v>
      </c>
      <c r="B574" s="34"/>
      <c r="C574" s="72"/>
      <c r="D574" s="72" t="s">
        <v>1221</v>
      </c>
      <c r="E574" s="120" t="s">
        <v>905</v>
      </c>
      <c r="F574" s="120"/>
      <c r="G574" s="132" t="s">
        <v>220</v>
      </c>
      <c r="H574" s="132" t="s">
        <v>221</v>
      </c>
      <c r="I574" s="132" t="s">
        <v>108</v>
      </c>
      <c r="J574" s="133" t="s">
        <v>222</v>
      </c>
      <c r="K574" s="134" t="s">
        <v>392</v>
      </c>
      <c r="L574" s="307">
        <f t="shared" si="81"/>
        <v>4000000</v>
      </c>
      <c r="M574" s="308"/>
      <c r="N574" s="308">
        <v>4000000</v>
      </c>
      <c r="O574" s="286"/>
      <c r="P574" s="286"/>
      <c r="Q574" s="286"/>
      <c r="R574" s="78"/>
      <c r="S574" s="67">
        <f t="shared" si="82"/>
        <v>0</v>
      </c>
      <c r="T574" s="67"/>
      <c r="U574" s="68">
        <v>4000000</v>
      </c>
      <c r="V574" s="9">
        <v>2</v>
      </c>
      <c r="W574" s="19" t="s">
        <v>273</v>
      </c>
      <c r="X574" s="19"/>
      <c r="Y574" s="19">
        <v>4000000</v>
      </c>
      <c r="Z574" s="52"/>
      <c r="AA574" s="52"/>
      <c r="AB574" s="19"/>
      <c r="AC574" s="19"/>
      <c r="AD574" s="19"/>
      <c r="AE574" s="19"/>
      <c r="AF574" s="19"/>
      <c r="AG574" s="19"/>
      <c r="AH574" s="19"/>
      <c r="AI574" s="14"/>
      <c r="AJ574" s="135">
        <v>80</v>
      </c>
      <c r="AK574" s="135" t="s">
        <v>347</v>
      </c>
      <c r="AL574" s="136">
        <v>12308090</v>
      </c>
      <c r="AM574" s="139">
        <v>40</v>
      </c>
    </row>
    <row r="575" spans="1:39" s="27" customFormat="1" ht="33">
      <c r="A575" s="34" t="s">
        <v>882</v>
      </c>
      <c r="B575" s="34"/>
      <c r="C575" s="72"/>
      <c r="D575" s="72"/>
      <c r="E575" s="120" t="s">
        <v>906</v>
      </c>
      <c r="F575" s="120"/>
      <c r="G575" s="132" t="s">
        <v>220</v>
      </c>
      <c r="H575" s="132" t="s">
        <v>221</v>
      </c>
      <c r="I575" s="132" t="s">
        <v>108</v>
      </c>
      <c r="J575" s="133" t="s">
        <v>222</v>
      </c>
      <c r="K575" s="134" t="s">
        <v>1150</v>
      </c>
      <c r="L575" s="307">
        <f t="shared" si="81"/>
        <v>2000000</v>
      </c>
      <c r="M575" s="308"/>
      <c r="N575" s="308">
        <v>2000000</v>
      </c>
      <c r="O575" s="286"/>
      <c r="P575" s="286"/>
      <c r="Q575" s="286"/>
      <c r="R575" s="78"/>
      <c r="S575" s="67">
        <f t="shared" si="82"/>
        <v>0</v>
      </c>
      <c r="T575" s="67"/>
      <c r="U575" s="68">
        <v>2000000</v>
      </c>
      <c r="V575" s="9">
        <v>3</v>
      </c>
      <c r="W575" s="19" t="s">
        <v>254</v>
      </c>
      <c r="X575" s="19"/>
      <c r="Y575" s="19"/>
      <c r="Z575" s="52"/>
      <c r="AA575" s="52"/>
      <c r="AB575" s="19">
        <v>2000000</v>
      </c>
      <c r="AC575" s="19"/>
      <c r="AD575" s="19"/>
      <c r="AE575" s="19"/>
      <c r="AF575" s="19"/>
      <c r="AG575" s="19"/>
      <c r="AH575" s="19"/>
      <c r="AI575" s="14"/>
      <c r="AJ575" s="135">
        <v>12</v>
      </c>
      <c r="AK575" s="135" t="s">
        <v>272</v>
      </c>
      <c r="AL575" s="136">
        <v>17300975</v>
      </c>
      <c r="AM575" s="139"/>
    </row>
    <row r="576" spans="1:39" s="27" customFormat="1" ht="33">
      <c r="A576" s="34" t="s">
        <v>882</v>
      </c>
      <c r="B576" s="34"/>
      <c r="C576" s="72"/>
      <c r="D576" s="72"/>
      <c r="E576" s="120" t="s">
        <v>1230</v>
      </c>
      <c r="F576" s="120"/>
      <c r="G576" s="132" t="s">
        <v>220</v>
      </c>
      <c r="H576" s="132" t="s">
        <v>221</v>
      </c>
      <c r="I576" s="132" t="s">
        <v>108</v>
      </c>
      <c r="J576" s="133" t="s">
        <v>222</v>
      </c>
      <c r="K576" s="134" t="s">
        <v>393</v>
      </c>
      <c r="L576" s="307">
        <f t="shared" si="81"/>
        <v>7750000</v>
      </c>
      <c r="M576" s="308"/>
      <c r="N576" s="308">
        <v>7750000</v>
      </c>
      <c r="O576" s="286"/>
      <c r="P576" s="286"/>
      <c r="Q576" s="286"/>
      <c r="R576" s="78"/>
      <c r="S576" s="67">
        <f t="shared" si="82"/>
        <v>0</v>
      </c>
      <c r="T576" s="67"/>
      <c r="U576" s="68">
        <v>7750000</v>
      </c>
      <c r="V576" s="9" t="s">
        <v>408</v>
      </c>
      <c r="W576" s="19" t="s">
        <v>519</v>
      </c>
      <c r="X576" s="19"/>
      <c r="Y576" s="19">
        <v>3000000</v>
      </c>
      <c r="Z576" s="52"/>
      <c r="AA576" s="52"/>
      <c r="AB576" s="19">
        <v>4300000</v>
      </c>
      <c r="AC576" s="19"/>
      <c r="AD576" s="19"/>
      <c r="AE576" s="19"/>
      <c r="AF576" s="19"/>
      <c r="AG576" s="19"/>
      <c r="AH576" s="19"/>
      <c r="AI576" s="14"/>
      <c r="AJ576" s="135"/>
      <c r="AK576" s="135" t="s">
        <v>271</v>
      </c>
      <c r="AL576" s="136">
        <v>63885832</v>
      </c>
      <c r="AM576" s="139"/>
    </row>
    <row r="577" spans="1:39" s="27" customFormat="1" ht="33">
      <c r="A577" s="34" t="s">
        <v>882</v>
      </c>
      <c r="B577" s="34"/>
      <c r="C577" s="72"/>
      <c r="D577" s="72"/>
      <c r="E577" s="120" t="s">
        <v>1230</v>
      </c>
      <c r="F577" s="120"/>
      <c r="G577" s="132" t="s">
        <v>220</v>
      </c>
      <c r="H577" s="132" t="s">
        <v>221</v>
      </c>
      <c r="I577" s="132" t="s">
        <v>108</v>
      </c>
      <c r="J577" s="133" t="s">
        <v>222</v>
      </c>
      <c r="K577" s="134" t="s">
        <v>395</v>
      </c>
      <c r="L577" s="307">
        <f t="shared" si="81"/>
        <v>9895250</v>
      </c>
      <c r="M577" s="308"/>
      <c r="N577" s="308">
        <f>8595250+1300000</f>
        <v>9895250</v>
      </c>
      <c r="O577" s="286"/>
      <c r="P577" s="286"/>
      <c r="Q577" s="286"/>
      <c r="R577" s="78"/>
      <c r="S577" s="67">
        <f t="shared" si="82"/>
        <v>1300000</v>
      </c>
      <c r="T577" s="67"/>
      <c r="U577" s="68">
        <v>8595250</v>
      </c>
      <c r="V577" s="9">
        <v>2.2999999999999998</v>
      </c>
      <c r="W577" s="19" t="s">
        <v>254</v>
      </c>
      <c r="X577" s="19"/>
      <c r="Y577" s="19">
        <v>2464250</v>
      </c>
      <c r="Z577" s="52"/>
      <c r="AA577" s="52"/>
      <c r="AB577" s="19">
        <v>6131000</v>
      </c>
      <c r="AC577" s="19"/>
      <c r="AD577" s="19"/>
      <c r="AE577" s="19"/>
      <c r="AF577" s="19"/>
      <c r="AG577" s="19"/>
      <c r="AH577" s="19"/>
      <c r="AI577" s="14"/>
      <c r="AJ577" s="135"/>
      <c r="AK577" s="135" t="s">
        <v>272</v>
      </c>
      <c r="AL577" s="136">
        <v>16858552</v>
      </c>
      <c r="AM577" s="139"/>
    </row>
    <row r="578" spans="1:39" s="27" customFormat="1" ht="33">
      <c r="A578" s="34" t="s">
        <v>882</v>
      </c>
      <c r="B578" s="34"/>
      <c r="C578" s="72"/>
      <c r="D578" s="72"/>
      <c r="E578" s="120" t="s">
        <v>901</v>
      </c>
      <c r="F578" s="120"/>
      <c r="G578" s="132" t="s">
        <v>220</v>
      </c>
      <c r="H578" s="132" t="s">
        <v>221</v>
      </c>
      <c r="I578" s="132" t="s">
        <v>108</v>
      </c>
      <c r="J578" s="133" t="s">
        <v>222</v>
      </c>
      <c r="K578" s="134" t="s">
        <v>396</v>
      </c>
      <c r="L578" s="307">
        <f t="shared" si="81"/>
        <v>100000</v>
      </c>
      <c r="M578" s="308"/>
      <c r="N578" s="308">
        <v>100000</v>
      </c>
      <c r="O578" s="286"/>
      <c r="P578" s="286"/>
      <c r="Q578" s="286"/>
      <c r="R578" s="78"/>
      <c r="S578" s="67">
        <f t="shared" si="82"/>
        <v>0</v>
      </c>
      <c r="T578" s="67"/>
      <c r="U578" s="67">
        <v>100000</v>
      </c>
      <c r="V578" s="9">
        <v>3</v>
      </c>
      <c r="W578" s="19" t="s">
        <v>254</v>
      </c>
      <c r="X578" s="19"/>
      <c r="Y578" s="19"/>
      <c r="Z578" s="52"/>
      <c r="AA578" s="52"/>
      <c r="AB578" s="19">
        <v>100000</v>
      </c>
      <c r="AC578" s="19"/>
      <c r="AD578" s="19"/>
      <c r="AE578" s="19"/>
      <c r="AF578" s="19"/>
      <c r="AG578" s="19"/>
      <c r="AH578" s="19"/>
      <c r="AI578" s="14"/>
      <c r="AJ578" s="135">
        <v>1</v>
      </c>
      <c r="AK578" s="135" t="s">
        <v>331</v>
      </c>
      <c r="AL578" s="136">
        <v>7000000</v>
      </c>
      <c r="AM578" s="139"/>
    </row>
    <row r="579" spans="1:39" s="27" customFormat="1" ht="33">
      <c r="A579" s="34" t="s">
        <v>882</v>
      </c>
      <c r="B579" s="34"/>
      <c r="C579" s="72"/>
      <c r="D579" s="72"/>
      <c r="E579" s="120" t="s">
        <v>903</v>
      </c>
      <c r="F579" s="120"/>
      <c r="G579" s="132" t="s">
        <v>220</v>
      </c>
      <c r="H579" s="132" t="s">
        <v>221</v>
      </c>
      <c r="I579" s="132" t="s">
        <v>108</v>
      </c>
      <c r="J579" s="133" t="s">
        <v>222</v>
      </c>
      <c r="K579" s="134" t="s">
        <v>1151</v>
      </c>
      <c r="L579" s="307">
        <f t="shared" si="81"/>
        <v>2300000</v>
      </c>
      <c r="M579" s="308"/>
      <c r="N579" s="308">
        <v>2300000</v>
      </c>
      <c r="O579" s="286"/>
      <c r="P579" s="286"/>
      <c r="Q579" s="286"/>
      <c r="R579" s="78"/>
      <c r="S579" s="67">
        <f t="shared" si="82"/>
        <v>0</v>
      </c>
      <c r="T579" s="67"/>
      <c r="U579" s="67">
        <v>2300000</v>
      </c>
      <c r="V579" s="9">
        <v>1.2</v>
      </c>
      <c r="W579" s="19" t="s">
        <v>254</v>
      </c>
      <c r="X579" s="19">
        <v>684591.27</v>
      </c>
      <c r="Y579" s="19">
        <v>1615408.73</v>
      </c>
      <c r="Z579" s="52"/>
      <c r="AA579" s="52"/>
      <c r="AB579" s="19"/>
      <c r="AC579" s="19"/>
      <c r="AD579" s="19"/>
      <c r="AE579" s="19"/>
      <c r="AF579" s="19"/>
      <c r="AG579" s="19"/>
      <c r="AH579" s="19"/>
      <c r="AI579" s="14"/>
      <c r="AJ579" s="135">
        <v>100</v>
      </c>
      <c r="AK579" s="135" t="s">
        <v>271</v>
      </c>
      <c r="AL579" s="136">
        <v>3600000</v>
      </c>
      <c r="AM579" s="139">
        <v>35</v>
      </c>
    </row>
    <row r="580" spans="1:39" s="27" customFormat="1" ht="33">
      <c r="A580" s="34" t="s">
        <v>882</v>
      </c>
      <c r="B580" s="34"/>
      <c r="C580" s="72"/>
      <c r="D580" s="72"/>
      <c r="E580" s="120" t="s">
        <v>1230</v>
      </c>
      <c r="F580" s="120"/>
      <c r="G580" s="132" t="s">
        <v>220</v>
      </c>
      <c r="H580" s="132" t="s">
        <v>221</v>
      </c>
      <c r="I580" s="132" t="s">
        <v>108</v>
      </c>
      <c r="J580" s="133" t="s">
        <v>222</v>
      </c>
      <c r="K580" s="134" t="s">
        <v>397</v>
      </c>
      <c r="L580" s="307">
        <f t="shared" si="81"/>
        <v>1640000</v>
      </c>
      <c r="M580" s="308"/>
      <c r="N580" s="308">
        <v>1640000</v>
      </c>
      <c r="O580" s="286"/>
      <c r="P580" s="286"/>
      <c r="Q580" s="286"/>
      <c r="R580" s="78"/>
      <c r="S580" s="67">
        <f t="shared" si="82"/>
        <v>0</v>
      </c>
      <c r="T580" s="67"/>
      <c r="U580" s="67">
        <v>1640000</v>
      </c>
      <c r="V580" s="9" t="s">
        <v>408</v>
      </c>
      <c r="W580" s="19" t="s">
        <v>254</v>
      </c>
      <c r="X580" s="19">
        <v>977802.2</v>
      </c>
      <c r="Y580" s="19">
        <v>522197.80000000005</v>
      </c>
      <c r="Z580" s="52"/>
      <c r="AA580" s="52"/>
      <c r="AB580" s="19">
        <v>140000</v>
      </c>
      <c r="AC580" s="19"/>
      <c r="AD580" s="19"/>
      <c r="AE580" s="19"/>
      <c r="AF580" s="19"/>
      <c r="AG580" s="19"/>
      <c r="AH580" s="19"/>
      <c r="AI580" s="14"/>
      <c r="AJ580" s="135"/>
      <c r="AK580" s="135" t="s">
        <v>271</v>
      </c>
      <c r="AL580" s="136">
        <v>14945000</v>
      </c>
      <c r="AM580" s="139"/>
    </row>
    <row r="581" spans="1:39" s="27" customFormat="1" ht="33">
      <c r="A581" s="34" t="s">
        <v>882</v>
      </c>
      <c r="B581" s="34"/>
      <c r="C581" s="72"/>
      <c r="D581" s="72"/>
      <c r="E581" s="120" t="s">
        <v>903</v>
      </c>
      <c r="F581" s="120"/>
      <c r="G581" s="132" t="s">
        <v>220</v>
      </c>
      <c r="H581" s="132" t="s">
        <v>221</v>
      </c>
      <c r="I581" s="132" t="s">
        <v>108</v>
      </c>
      <c r="J581" s="133" t="s">
        <v>222</v>
      </c>
      <c r="K581" s="134" t="s">
        <v>1005</v>
      </c>
      <c r="L581" s="307">
        <f t="shared" si="81"/>
        <v>10000</v>
      </c>
      <c r="M581" s="308"/>
      <c r="N581" s="308">
        <v>10000</v>
      </c>
      <c r="O581" s="286"/>
      <c r="P581" s="286"/>
      <c r="Q581" s="286"/>
      <c r="R581" s="78"/>
      <c r="S581" s="67">
        <f t="shared" si="82"/>
        <v>0</v>
      </c>
      <c r="T581" s="67"/>
      <c r="U581" s="67">
        <v>10000</v>
      </c>
      <c r="V581" s="9">
        <v>3</v>
      </c>
      <c r="W581" s="19" t="s">
        <v>273</v>
      </c>
      <c r="X581" s="19"/>
      <c r="Y581" s="19"/>
      <c r="Z581" s="52"/>
      <c r="AA581" s="52"/>
      <c r="AB581" s="19">
        <v>10000</v>
      </c>
      <c r="AC581" s="19"/>
      <c r="AD581" s="19"/>
      <c r="AE581" s="19"/>
      <c r="AF581" s="19"/>
      <c r="AG581" s="19"/>
      <c r="AH581" s="19"/>
      <c r="AI581" s="14"/>
      <c r="AJ581" s="135">
        <v>1</v>
      </c>
      <c r="AK581" s="135" t="s">
        <v>367</v>
      </c>
      <c r="AL581" s="136">
        <v>3500000</v>
      </c>
      <c r="AM581" s="139"/>
    </row>
    <row r="582" spans="1:39" s="27" customFormat="1" ht="33">
      <c r="A582" s="34" t="s">
        <v>882</v>
      </c>
      <c r="B582" s="34"/>
      <c r="C582" s="72"/>
      <c r="D582" s="72" t="s">
        <v>1222</v>
      </c>
      <c r="E582" s="120" t="s">
        <v>904</v>
      </c>
      <c r="F582" s="120"/>
      <c r="G582" s="132" t="s">
        <v>220</v>
      </c>
      <c r="H582" s="132" t="s">
        <v>221</v>
      </c>
      <c r="I582" s="132" t="s">
        <v>108</v>
      </c>
      <c r="J582" s="133" t="s">
        <v>222</v>
      </c>
      <c r="K582" s="134" t="s">
        <v>1152</v>
      </c>
      <c r="L582" s="307">
        <f t="shared" si="81"/>
        <v>10000</v>
      </c>
      <c r="M582" s="308"/>
      <c r="N582" s="308">
        <v>10000</v>
      </c>
      <c r="O582" s="286"/>
      <c r="P582" s="286"/>
      <c r="Q582" s="286"/>
      <c r="R582" s="78"/>
      <c r="S582" s="67">
        <f t="shared" si="82"/>
        <v>0</v>
      </c>
      <c r="T582" s="67"/>
      <c r="U582" s="67">
        <v>10000</v>
      </c>
      <c r="V582" s="9">
        <v>3</v>
      </c>
      <c r="W582" s="19" t="s">
        <v>254</v>
      </c>
      <c r="X582" s="19"/>
      <c r="Y582" s="19"/>
      <c r="Z582" s="52"/>
      <c r="AA582" s="52"/>
      <c r="AB582" s="19">
        <v>10000</v>
      </c>
      <c r="AC582" s="19"/>
      <c r="AD582" s="19"/>
      <c r="AE582" s="19"/>
      <c r="AF582" s="19"/>
      <c r="AG582" s="19"/>
      <c r="AH582" s="19"/>
      <c r="AI582" s="14"/>
      <c r="AJ582" s="135">
        <v>1</v>
      </c>
      <c r="AK582" s="135" t="s">
        <v>398</v>
      </c>
      <c r="AL582" s="136">
        <v>50000000</v>
      </c>
      <c r="AM582" s="139"/>
    </row>
    <row r="583" spans="1:39" s="27" customFormat="1" ht="49.5">
      <c r="A583" s="34" t="s">
        <v>882</v>
      </c>
      <c r="B583" s="34"/>
      <c r="C583" s="72"/>
      <c r="D583" s="72"/>
      <c r="E583" s="120" t="s">
        <v>902</v>
      </c>
      <c r="F583" s="120"/>
      <c r="G583" s="132" t="s">
        <v>220</v>
      </c>
      <c r="H583" s="132" t="s">
        <v>221</v>
      </c>
      <c r="I583" s="132" t="s">
        <v>108</v>
      </c>
      <c r="J583" s="133" t="s">
        <v>222</v>
      </c>
      <c r="K583" s="134" t="s">
        <v>1153</v>
      </c>
      <c r="L583" s="307">
        <f t="shared" si="81"/>
        <v>10000</v>
      </c>
      <c r="M583" s="308"/>
      <c r="N583" s="308">
        <v>10000</v>
      </c>
      <c r="O583" s="286"/>
      <c r="P583" s="286"/>
      <c r="Q583" s="286"/>
      <c r="R583" s="78"/>
      <c r="S583" s="67">
        <f t="shared" si="82"/>
        <v>0</v>
      </c>
      <c r="T583" s="67"/>
      <c r="U583" s="67">
        <v>10000</v>
      </c>
      <c r="V583" s="9">
        <v>3</v>
      </c>
      <c r="W583" s="19" t="s">
        <v>254</v>
      </c>
      <c r="X583" s="19"/>
      <c r="Y583" s="19"/>
      <c r="Z583" s="52"/>
      <c r="AA583" s="52"/>
      <c r="AB583" s="19">
        <v>10000</v>
      </c>
      <c r="AC583" s="19"/>
      <c r="AD583" s="19"/>
      <c r="AE583" s="19"/>
      <c r="AF583" s="19"/>
      <c r="AG583" s="19"/>
      <c r="AH583" s="19"/>
      <c r="AI583" s="14"/>
      <c r="AJ583" s="135">
        <v>1</v>
      </c>
      <c r="AK583" s="135" t="s">
        <v>367</v>
      </c>
      <c r="AL583" s="136">
        <v>10000000</v>
      </c>
      <c r="AM583" s="139"/>
    </row>
    <row r="584" spans="1:39" s="27" customFormat="1" ht="33">
      <c r="A584" s="34" t="s">
        <v>882</v>
      </c>
      <c r="B584" s="34"/>
      <c r="C584" s="72"/>
      <c r="D584" s="72"/>
      <c r="E584" s="120" t="s">
        <v>1230</v>
      </c>
      <c r="F584" s="120"/>
      <c r="G584" s="132" t="s">
        <v>220</v>
      </c>
      <c r="H584" s="132" t="s">
        <v>221</v>
      </c>
      <c r="I584" s="132" t="s">
        <v>108</v>
      </c>
      <c r="J584" s="133" t="s">
        <v>222</v>
      </c>
      <c r="K584" s="134" t="s">
        <v>851</v>
      </c>
      <c r="L584" s="307">
        <f t="shared" si="81"/>
        <v>456000</v>
      </c>
      <c r="M584" s="308"/>
      <c r="N584" s="308">
        <v>456000</v>
      </c>
      <c r="O584" s="286"/>
      <c r="P584" s="286"/>
      <c r="Q584" s="286"/>
      <c r="R584" s="78"/>
      <c r="S584" s="67">
        <f t="shared" si="82"/>
        <v>0</v>
      </c>
      <c r="T584" s="67"/>
      <c r="U584" s="67">
        <v>456000</v>
      </c>
      <c r="V584" s="9">
        <v>3</v>
      </c>
      <c r="W584" s="19" t="s">
        <v>273</v>
      </c>
      <c r="X584" s="19"/>
      <c r="Y584" s="19"/>
      <c r="Z584" s="52"/>
      <c r="AA584" s="52"/>
      <c r="AB584" s="19">
        <v>456000</v>
      </c>
      <c r="AC584" s="19"/>
      <c r="AD584" s="19"/>
      <c r="AE584" s="19"/>
      <c r="AF584" s="19"/>
      <c r="AG584" s="19"/>
      <c r="AH584" s="19"/>
      <c r="AI584" s="14"/>
      <c r="AJ584" s="135"/>
      <c r="AK584" s="135" t="s">
        <v>331</v>
      </c>
      <c r="AL584" s="136">
        <v>4500000</v>
      </c>
      <c r="AM584" s="139"/>
    </row>
    <row r="585" spans="1:39" s="27" customFormat="1" ht="49.5">
      <c r="A585" s="34" t="s">
        <v>882</v>
      </c>
      <c r="B585" s="34"/>
      <c r="C585" s="72"/>
      <c r="D585" s="72" t="s">
        <v>1223</v>
      </c>
      <c r="E585" s="120" t="s">
        <v>901</v>
      </c>
      <c r="F585" s="120"/>
      <c r="G585" s="132" t="s">
        <v>399</v>
      </c>
      <c r="H585" s="132" t="s">
        <v>303</v>
      </c>
      <c r="I585" s="132" t="s">
        <v>108</v>
      </c>
      <c r="J585" s="133" t="s">
        <v>282</v>
      </c>
      <c r="K585" s="134" t="s">
        <v>400</v>
      </c>
      <c r="L585" s="307">
        <f t="shared" si="81"/>
        <v>1500000</v>
      </c>
      <c r="M585" s="308"/>
      <c r="N585" s="308">
        <v>1500000</v>
      </c>
      <c r="O585" s="286"/>
      <c r="P585" s="286"/>
      <c r="Q585" s="286"/>
      <c r="R585" s="78"/>
      <c r="S585" s="67">
        <f t="shared" si="82"/>
        <v>0</v>
      </c>
      <c r="T585" s="67"/>
      <c r="U585" s="67">
        <v>1500000</v>
      </c>
      <c r="V585" s="9">
        <v>2</v>
      </c>
      <c r="W585" s="19" t="s">
        <v>254</v>
      </c>
      <c r="X585" s="19"/>
      <c r="Y585" s="19">
        <v>1500000</v>
      </c>
      <c r="Z585" s="52"/>
      <c r="AA585" s="52"/>
      <c r="AB585" s="19"/>
      <c r="AC585" s="19"/>
      <c r="AD585" s="19"/>
      <c r="AE585" s="19"/>
      <c r="AF585" s="19"/>
      <c r="AG585" s="19"/>
      <c r="AH585" s="19"/>
      <c r="AI585" s="14"/>
      <c r="AJ585" s="135">
        <v>45</v>
      </c>
      <c r="AK585" s="135" t="s">
        <v>272</v>
      </c>
      <c r="AL585" s="136">
        <v>8900000</v>
      </c>
      <c r="AM585" s="139">
        <v>25</v>
      </c>
    </row>
    <row r="586" spans="1:39" s="51" customFormat="1" ht="36.75" customHeight="1">
      <c r="A586" s="34" t="s">
        <v>882</v>
      </c>
      <c r="B586" s="34"/>
      <c r="C586" s="72"/>
      <c r="D586" s="72"/>
      <c r="E586" s="120" t="s">
        <v>902</v>
      </c>
      <c r="F586" s="120"/>
      <c r="G586" s="132" t="s">
        <v>1041</v>
      </c>
      <c r="H586" s="132">
        <v>7370</v>
      </c>
      <c r="I586" s="132" t="s">
        <v>31</v>
      </c>
      <c r="J586" s="133" t="s">
        <v>184</v>
      </c>
      <c r="K586" s="124" t="s">
        <v>1042</v>
      </c>
      <c r="L586" s="307">
        <f t="shared" si="81"/>
        <v>8000000</v>
      </c>
      <c r="M586" s="308"/>
      <c r="N586" s="308">
        <v>8000000</v>
      </c>
      <c r="O586" s="286"/>
      <c r="P586" s="286"/>
      <c r="Q586" s="286"/>
      <c r="R586" s="78"/>
      <c r="S586" s="67">
        <f t="shared" si="82"/>
        <v>0</v>
      </c>
      <c r="T586" s="67"/>
      <c r="U586" s="41">
        <v>8000000</v>
      </c>
      <c r="V586" s="55"/>
      <c r="W586" s="52"/>
      <c r="X586" s="52"/>
      <c r="Y586" s="52"/>
      <c r="Z586" s="52">
        <v>8000000</v>
      </c>
      <c r="AA586" s="52"/>
      <c r="AB586" s="52"/>
      <c r="AC586" s="52"/>
      <c r="AD586" s="52"/>
      <c r="AE586" s="52"/>
      <c r="AF586" s="52"/>
      <c r="AG586" s="52"/>
      <c r="AH586" s="52"/>
      <c r="AI586" s="14"/>
      <c r="AJ586" s="135"/>
      <c r="AK586" s="135">
        <v>2021</v>
      </c>
      <c r="AL586" s="136"/>
      <c r="AM586" s="139"/>
    </row>
    <row r="587" spans="1:39" s="66" customFormat="1" ht="33">
      <c r="A587" s="72" t="s">
        <v>882</v>
      </c>
      <c r="B587" s="72"/>
      <c r="C587" s="72"/>
      <c r="D587" s="72"/>
      <c r="E587" s="120"/>
      <c r="F587" s="120"/>
      <c r="G587" s="160" t="s">
        <v>1380</v>
      </c>
      <c r="H587" s="160" t="s">
        <v>30</v>
      </c>
      <c r="I587" s="160" t="s">
        <v>31</v>
      </c>
      <c r="J587" s="161" t="s">
        <v>32</v>
      </c>
      <c r="K587" s="155" t="s">
        <v>1381</v>
      </c>
      <c r="L587" s="307">
        <f t="shared" si="81"/>
        <v>300000</v>
      </c>
      <c r="M587" s="308">
        <v>300000</v>
      </c>
      <c r="N587" s="308"/>
      <c r="O587" s="286"/>
      <c r="P587" s="286"/>
      <c r="Q587" s="286"/>
      <c r="R587" s="78"/>
      <c r="S587" s="67"/>
      <c r="T587" s="67"/>
      <c r="U587" s="67"/>
      <c r="V587" s="69"/>
      <c r="W587" s="67"/>
      <c r="X587" s="67"/>
      <c r="Y587" s="67"/>
      <c r="Z587" s="67"/>
      <c r="AA587" s="67"/>
      <c r="AB587" s="67"/>
      <c r="AC587" s="67"/>
      <c r="AD587" s="67"/>
      <c r="AE587" s="67"/>
      <c r="AF587" s="67"/>
      <c r="AG587" s="67"/>
      <c r="AH587" s="67"/>
      <c r="AI587" s="71"/>
      <c r="AJ587" s="156"/>
      <c r="AK587" s="78">
        <v>2021</v>
      </c>
      <c r="AL587" s="70"/>
      <c r="AM587" s="159"/>
    </row>
    <row r="588" spans="1:39" s="198" customFormat="1">
      <c r="A588" s="193" t="s">
        <v>883</v>
      </c>
      <c r="B588" s="181" t="s">
        <v>193</v>
      </c>
      <c r="C588" s="181"/>
      <c r="D588" s="181"/>
      <c r="E588" s="182" t="s">
        <v>1225</v>
      </c>
      <c r="F588" s="182"/>
      <c r="G588" s="183" t="s">
        <v>61</v>
      </c>
      <c r="H588" s="183"/>
      <c r="I588" s="183"/>
      <c r="J588" s="184" t="s">
        <v>64</v>
      </c>
      <c r="K588" s="201"/>
      <c r="L588" s="287">
        <f t="shared" ref="L588" si="83">SUM(L590:L594)</f>
        <v>4000000</v>
      </c>
      <c r="M588" s="288">
        <f>SUM(M590:M594)</f>
        <v>0</v>
      </c>
      <c r="N588" s="289">
        <f>SUM(N590:N594)</f>
        <v>4000000</v>
      </c>
      <c r="O588" s="289">
        <f t="shared" ref="O588:P588" si="84">SUM(O590:O594)</f>
        <v>0</v>
      </c>
      <c r="P588" s="289">
        <f t="shared" si="84"/>
        <v>0</v>
      </c>
      <c r="Q588" s="289">
        <f t="shared" ref="Q588" si="85">SUM(Q590:Q594)</f>
        <v>0</v>
      </c>
      <c r="R588" s="187">
        <f t="shared" ref="R588:R589" si="86">L588-M588-N588-O588-P588-Q588</f>
        <v>0</v>
      </c>
      <c r="S588" s="187"/>
      <c r="T588" s="187"/>
      <c r="U588" s="187">
        <f>SUM(U590:U594)</f>
        <v>4000000</v>
      </c>
      <c r="V588" s="187"/>
      <c r="W588" s="187"/>
      <c r="X588" s="187">
        <f>SUM(X590:X594)</f>
        <v>1156100</v>
      </c>
      <c r="Y588" s="187">
        <f>SUM(Y590:Y594)</f>
        <v>2545400</v>
      </c>
      <c r="Z588" s="187"/>
      <c r="AA588" s="187"/>
      <c r="AB588" s="187">
        <f>SUM(AB590:AB594)</f>
        <v>298500</v>
      </c>
      <c r="AC588" s="187">
        <f>X588+Y588+AB588-N588</f>
        <v>0</v>
      </c>
      <c r="AD588" s="187">
        <f>SUM(AD590:AD594)</f>
        <v>0</v>
      </c>
      <c r="AE588" s="187">
        <f>SUM(AE590:AE594)</f>
        <v>0</v>
      </c>
      <c r="AF588" s="187">
        <f>SUM(AF590:AF594)</f>
        <v>0</v>
      </c>
      <c r="AG588" s="187">
        <f>SUM(AG590:AG594)</f>
        <v>0</v>
      </c>
      <c r="AH588" s="187">
        <f>SUM(AH590:AH594)</f>
        <v>0</v>
      </c>
      <c r="AI588" s="195"/>
      <c r="AJ588" s="187"/>
      <c r="AK588" s="185"/>
      <c r="AL588" s="196"/>
      <c r="AM588" s="197"/>
    </row>
    <row r="589" spans="1:39" s="198" customFormat="1">
      <c r="A589" s="193" t="s">
        <v>883</v>
      </c>
      <c r="B589" s="193"/>
      <c r="C589" s="193"/>
      <c r="D589" s="193"/>
      <c r="E589" s="182" t="s">
        <v>1225</v>
      </c>
      <c r="F589" s="182"/>
      <c r="G589" s="183" t="s">
        <v>63</v>
      </c>
      <c r="H589" s="183"/>
      <c r="I589" s="183"/>
      <c r="J589" s="190" t="s">
        <v>64</v>
      </c>
      <c r="K589" s="201"/>
      <c r="L589" s="290"/>
      <c r="M589" s="291"/>
      <c r="N589" s="297"/>
      <c r="O589" s="297"/>
      <c r="P589" s="297"/>
      <c r="Q589" s="297"/>
      <c r="R589" s="187">
        <f t="shared" si="86"/>
        <v>0</v>
      </c>
      <c r="S589" s="199"/>
      <c r="T589" s="199"/>
      <c r="U589" s="199"/>
      <c r="V589" s="200"/>
      <c r="W589" s="199"/>
      <c r="X589" s="199"/>
      <c r="Y589" s="199"/>
      <c r="Z589" s="199"/>
      <c r="AA589" s="199"/>
      <c r="AB589" s="199"/>
      <c r="AC589" s="199"/>
      <c r="AD589" s="199"/>
      <c r="AE589" s="199"/>
      <c r="AF589" s="199"/>
      <c r="AG589" s="199"/>
      <c r="AH589" s="199"/>
      <c r="AI589" s="195"/>
      <c r="AJ589" s="199"/>
      <c r="AK589" s="185"/>
      <c r="AL589" s="196"/>
      <c r="AM589" s="197"/>
    </row>
    <row r="590" spans="1:39" s="27" customFormat="1" ht="33">
      <c r="A590" s="34" t="s">
        <v>883</v>
      </c>
      <c r="B590" s="34"/>
      <c r="C590" s="72"/>
      <c r="D590" s="72"/>
      <c r="E590" s="120" t="s">
        <v>1469</v>
      </c>
      <c r="F590" s="120"/>
      <c r="G590" s="87">
        <v>1110160</v>
      </c>
      <c r="H590" s="87" t="s">
        <v>15</v>
      </c>
      <c r="I590" s="87" t="s">
        <v>16</v>
      </c>
      <c r="J590" s="81" t="s">
        <v>279</v>
      </c>
      <c r="K590" s="82" t="s">
        <v>18</v>
      </c>
      <c r="L590" s="298">
        <f>SUM(M590:Q590)</f>
        <v>173500</v>
      </c>
      <c r="M590" s="299"/>
      <c r="N590" s="301">
        <v>173500</v>
      </c>
      <c r="O590" s="286"/>
      <c r="P590" s="286"/>
      <c r="Q590" s="286"/>
      <c r="R590" s="78"/>
      <c r="S590" s="67"/>
      <c r="T590" s="67"/>
      <c r="U590" s="67">
        <v>173500</v>
      </c>
      <c r="V590" s="1">
        <v>3</v>
      </c>
      <c r="W590" s="1"/>
      <c r="X590" s="19"/>
      <c r="Y590" s="19"/>
      <c r="Z590" s="52"/>
      <c r="AA590" s="52"/>
      <c r="AB590" s="19">
        <v>173500</v>
      </c>
      <c r="AC590" s="19"/>
      <c r="AD590" s="19"/>
      <c r="AE590" s="19"/>
      <c r="AF590" s="19"/>
      <c r="AG590" s="19"/>
      <c r="AH590" s="19"/>
      <c r="AI590" s="14"/>
      <c r="AJ590" s="78"/>
      <c r="AK590" s="78">
        <v>2021</v>
      </c>
      <c r="AL590" s="78"/>
      <c r="AM590" s="78"/>
    </row>
    <row r="591" spans="1:39" s="27" customFormat="1" ht="33">
      <c r="A591" s="34" t="s">
        <v>883</v>
      </c>
      <c r="B591" s="34"/>
      <c r="C591" s="72"/>
      <c r="D591" s="72"/>
      <c r="E591" s="120" t="s">
        <v>1230</v>
      </c>
      <c r="F591" s="120"/>
      <c r="G591" s="87">
        <v>1113132</v>
      </c>
      <c r="H591" s="87">
        <v>3132</v>
      </c>
      <c r="I591" s="87" t="s">
        <v>284</v>
      </c>
      <c r="J591" s="81" t="s">
        <v>285</v>
      </c>
      <c r="K591" s="82" t="s">
        <v>278</v>
      </c>
      <c r="L591" s="298">
        <f>SUM(M591:Q591)</f>
        <v>50000</v>
      </c>
      <c r="M591" s="299"/>
      <c r="N591" s="301">
        <v>50000</v>
      </c>
      <c r="O591" s="286"/>
      <c r="P591" s="286"/>
      <c r="Q591" s="286"/>
      <c r="R591" s="78"/>
      <c r="S591" s="67"/>
      <c r="T591" s="67"/>
      <c r="U591" s="67">
        <v>50000</v>
      </c>
      <c r="V591" s="1">
        <v>3</v>
      </c>
      <c r="W591" s="1" t="s">
        <v>273</v>
      </c>
      <c r="X591" s="19"/>
      <c r="Y591" s="19"/>
      <c r="Z591" s="52"/>
      <c r="AA591" s="52"/>
      <c r="AB591" s="19">
        <v>50000</v>
      </c>
      <c r="AC591" s="19"/>
      <c r="AD591" s="19"/>
      <c r="AE591" s="19"/>
      <c r="AF591" s="19"/>
      <c r="AG591" s="19"/>
      <c r="AH591" s="19"/>
      <c r="AI591" s="14"/>
      <c r="AJ591" s="78"/>
      <c r="AK591" s="78">
        <v>2021</v>
      </c>
      <c r="AL591" s="84"/>
      <c r="AM591" s="78"/>
    </row>
    <row r="592" spans="1:39" s="27" customFormat="1">
      <c r="A592" s="34" t="s">
        <v>883</v>
      </c>
      <c r="B592" s="34"/>
      <c r="C592" s="72"/>
      <c r="D592" s="72"/>
      <c r="E592" s="120" t="s">
        <v>1230</v>
      </c>
      <c r="F592" s="120"/>
      <c r="G592" s="87" t="s">
        <v>286</v>
      </c>
      <c r="H592" s="87">
        <v>7323</v>
      </c>
      <c r="I592" s="87" t="s">
        <v>108</v>
      </c>
      <c r="J592" s="81" t="s">
        <v>202</v>
      </c>
      <c r="K592" s="82" t="s">
        <v>287</v>
      </c>
      <c r="L592" s="298">
        <f>SUM(M592:Q592)</f>
        <v>2620400</v>
      </c>
      <c r="M592" s="299"/>
      <c r="N592" s="301">
        <v>2620400</v>
      </c>
      <c r="O592" s="286"/>
      <c r="P592" s="286"/>
      <c r="Q592" s="286"/>
      <c r="R592" s="78"/>
      <c r="S592" s="67"/>
      <c r="T592" s="67"/>
      <c r="U592" s="67">
        <v>2620400</v>
      </c>
      <c r="V592" s="1"/>
      <c r="W592" s="1" t="s">
        <v>273</v>
      </c>
      <c r="X592" s="19"/>
      <c r="Y592" s="19">
        <v>2545400</v>
      </c>
      <c r="Z592" s="52"/>
      <c r="AA592" s="52"/>
      <c r="AB592" s="19">
        <v>75000</v>
      </c>
      <c r="AC592" s="19"/>
      <c r="AD592" s="19"/>
      <c r="AE592" s="19"/>
      <c r="AF592" s="19"/>
      <c r="AG592" s="19"/>
      <c r="AH592" s="19"/>
      <c r="AI592" s="14"/>
      <c r="AJ592" s="78"/>
      <c r="AK592" s="78" t="s">
        <v>347</v>
      </c>
      <c r="AL592" s="78"/>
      <c r="AM592" s="78"/>
    </row>
    <row r="593" spans="1:39" s="27" customFormat="1" ht="33">
      <c r="A593" s="34" t="s">
        <v>883</v>
      </c>
      <c r="B593" s="34"/>
      <c r="C593" s="72"/>
      <c r="D593" s="72" t="s">
        <v>1222</v>
      </c>
      <c r="E593" s="120" t="s">
        <v>904</v>
      </c>
      <c r="F593" s="120"/>
      <c r="G593" s="87" t="s">
        <v>286</v>
      </c>
      <c r="H593" s="87">
        <v>7323</v>
      </c>
      <c r="I593" s="87" t="s">
        <v>108</v>
      </c>
      <c r="J593" s="81" t="s">
        <v>202</v>
      </c>
      <c r="K593" s="82" t="s">
        <v>281</v>
      </c>
      <c r="L593" s="298">
        <f>SUM(M593:Q593)</f>
        <v>1104100</v>
      </c>
      <c r="M593" s="299"/>
      <c r="N593" s="301">
        <v>1104100</v>
      </c>
      <c r="O593" s="322"/>
      <c r="P593" s="322"/>
      <c r="Q593" s="322"/>
      <c r="R593" s="92"/>
      <c r="S593" s="67"/>
      <c r="T593" s="67"/>
      <c r="U593" s="67">
        <v>1104100</v>
      </c>
      <c r="V593" s="1">
        <v>1</v>
      </c>
      <c r="W593" s="1" t="s">
        <v>273</v>
      </c>
      <c r="X593" s="19">
        <v>1104100</v>
      </c>
      <c r="Y593" s="19"/>
      <c r="Z593" s="52"/>
      <c r="AA593" s="52"/>
      <c r="AB593" s="19"/>
      <c r="AC593" s="19"/>
      <c r="AD593" s="19"/>
      <c r="AE593" s="19"/>
      <c r="AF593" s="19"/>
      <c r="AG593" s="19"/>
      <c r="AH593" s="19"/>
      <c r="AI593" s="14"/>
      <c r="AJ593" s="92"/>
      <c r="AK593" s="78" t="s">
        <v>346</v>
      </c>
      <c r="AL593" s="85">
        <v>2270600</v>
      </c>
      <c r="AM593" s="78">
        <v>95</v>
      </c>
    </row>
    <row r="594" spans="1:39" s="27" customFormat="1" ht="33">
      <c r="A594" s="34" t="s">
        <v>883</v>
      </c>
      <c r="B594" s="34"/>
      <c r="C594" s="72"/>
      <c r="D594" s="72" t="s">
        <v>1223</v>
      </c>
      <c r="E594" s="120" t="s">
        <v>901</v>
      </c>
      <c r="F594" s="120"/>
      <c r="G594" s="87">
        <v>1117340</v>
      </c>
      <c r="H594" s="87">
        <v>7340</v>
      </c>
      <c r="I594" s="87" t="s">
        <v>108</v>
      </c>
      <c r="J594" s="81" t="s">
        <v>282</v>
      </c>
      <c r="K594" s="82" t="s">
        <v>283</v>
      </c>
      <c r="L594" s="298">
        <f>SUM(M594:Q594)</f>
        <v>52000</v>
      </c>
      <c r="M594" s="299"/>
      <c r="N594" s="301">
        <v>52000</v>
      </c>
      <c r="O594" s="286"/>
      <c r="P594" s="286"/>
      <c r="Q594" s="286"/>
      <c r="R594" s="78"/>
      <c r="S594" s="67"/>
      <c r="T594" s="67"/>
      <c r="U594" s="67">
        <v>52000</v>
      </c>
      <c r="V594" s="1">
        <v>1</v>
      </c>
      <c r="W594" s="1" t="s">
        <v>273</v>
      </c>
      <c r="X594" s="19">
        <v>52000</v>
      </c>
      <c r="Y594" s="19"/>
      <c r="Z594" s="52"/>
      <c r="AA594" s="52"/>
      <c r="AB594" s="19"/>
      <c r="AC594" s="19"/>
      <c r="AD594" s="19"/>
      <c r="AE594" s="19"/>
      <c r="AF594" s="19"/>
      <c r="AG594" s="19"/>
      <c r="AH594" s="19"/>
      <c r="AI594" s="14"/>
      <c r="AJ594" s="78">
        <v>100</v>
      </c>
      <c r="AK594" s="78" t="s">
        <v>347</v>
      </c>
      <c r="AL594" s="85">
        <v>1168500</v>
      </c>
      <c r="AM594" s="78">
        <v>100</v>
      </c>
    </row>
    <row r="595" spans="1:39" s="198" customFormat="1" ht="33">
      <c r="A595" s="193" t="s">
        <v>666</v>
      </c>
      <c r="B595" s="181" t="s">
        <v>193</v>
      </c>
      <c r="C595" s="181"/>
      <c r="D595" s="181"/>
      <c r="E595" s="182"/>
      <c r="F595" s="182"/>
      <c r="G595" s="183" t="s">
        <v>65</v>
      </c>
      <c r="H595" s="183"/>
      <c r="I595" s="183"/>
      <c r="J595" s="184" t="s">
        <v>66</v>
      </c>
      <c r="K595" s="201"/>
      <c r="L595" s="287">
        <f t="shared" ref="L595:Q595" si="87">SUM(L597:L647)-L637-L639-L642-L645</f>
        <v>565146710</v>
      </c>
      <c r="M595" s="288">
        <f t="shared" si="87"/>
        <v>182335500</v>
      </c>
      <c r="N595" s="288">
        <f t="shared" si="87"/>
        <v>21146010</v>
      </c>
      <c r="O595" s="288">
        <f t="shared" si="87"/>
        <v>0</v>
      </c>
      <c r="P595" s="288">
        <f t="shared" si="87"/>
        <v>0</v>
      </c>
      <c r="Q595" s="288">
        <f t="shared" si="87"/>
        <v>361665200</v>
      </c>
      <c r="R595" s="187">
        <f t="shared" ref="R595:R596" si="88">L595-M595-N595-O595-P595-Q595</f>
        <v>0</v>
      </c>
      <c r="S595" s="187"/>
      <c r="T595" s="187"/>
      <c r="U595" s="187">
        <f>SUM(U597:U647)</f>
        <v>641505000</v>
      </c>
      <c r="V595" s="187"/>
      <c r="W595" s="187"/>
      <c r="X595" s="187">
        <f>SUM(X597:X647)</f>
        <v>60480536.029999994</v>
      </c>
      <c r="Y595" s="187" t="e">
        <f>SUM(Y597:Y647)</f>
        <v>#REF!</v>
      </c>
      <c r="Z595" s="187"/>
      <c r="AA595" s="187"/>
      <c r="AB595" s="187">
        <f>SUM(AB597:AB647)</f>
        <v>591183891.80999994</v>
      </c>
      <c r="AC595" s="187" t="e">
        <f>X595+Y595+AB595-N595</f>
        <v>#REF!</v>
      </c>
      <c r="AD595" s="187">
        <f>SUM(AD597:AD647)</f>
        <v>90000000</v>
      </c>
      <c r="AE595" s="187">
        <f>SUM(AE597:AE647)</f>
        <v>15000000</v>
      </c>
      <c r="AF595" s="187">
        <f>SUM(AF597:AF647)</f>
        <v>144200000</v>
      </c>
      <c r="AG595" s="187">
        <f>SUM(AG597:AG647)</f>
        <v>223000000</v>
      </c>
      <c r="AH595" s="187">
        <f>SUM(AH597:AH647)</f>
        <v>40305800</v>
      </c>
      <c r="AI595" s="195"/>
      <c r="AJ595" s="187"/>
      <c r="AK595" s="185"/>
      <c r="AL595" s="196"/>
      <c r="AM595" s="186"/>
    </row>
    <row r="596" spans="1:39" s="198" customFormat="1" ht="33">
      <c r="A596" s="193" t="s">
        <v>666</v>
      </c>
      <c r="B596" s="193"/>
      <c r="C596" s="193"/>
      <c r="D596" s="193"/>
      <c r="E596" s="182"/>
      <c r="F596" s="182"/>
      <c r="G596" s="183" t="s">
        <v>67</v>
      </c>
      <c r="H596" s="183"/>
      <c r="I596" s="183"/>
      <c r="J596" s="190" t="s">
        <v>66</v>
      </c>
      <c r="K596" s="201"/>
      <c r="L596" s="290"/>
      <c r="M596" s="291"/>
      <c r="N596" s="297"/>
      <c r="O596" s="297"/>
      <c r="P596" s="297"/>
      <c r="Q596" s="297"/>
      <c r="R596" s="187">
        <f t="shared" si="88"/>
        <v>0</v>
      </c>
      <c r="S596" s="199"/>
      <c r="T596" s="199"/>
      <c r="U596" s="199"/>
      <c r="V596" s="200"/>
      <c r="W596" s="199"/>
      <c r="X596" s="199"/>
      <c r="Y596" s="199"/>
      <c r="Z596" s="199"/>
      <c r="AA596" s="199"/>
      <c r="AB596" s="199"/>
      <c r="AC596" s="199"/>
      <c r="AD596" s="199"/>
      <c r="AE596" s="199"/>
      <c r="AF596" s="199"/>
      <c r="AG596" s="199"/>
      <c r="AH596" s="199"/>
      <c r="AI596" s="195"/>
      <c r="AJ596" s="199"/>
      <c r="AK596" s="185"/>
      <c r="AL596" s="196"/>
      <c r="AM596" s="197"/>
    </row>
    <row r="597" spans="1:39" s="27" customFormat="1" ht="33">
      <c r="A597" s="34" t="s">
        <v>666</v>
      </c>
      <c r="B597" s="34"/>
      <c r="C597" s="72"/>
      <c r="D597" s="72"/>
      <c r="E597" s="120" t="s">
        <v>1230</v>
      </c>
      <c r="F597" s="120"/>
      <c r="G597" s="87">
        <v>1210160</v>
      </c>
      <c r="H597" s="87" t="s">
        <v>15</v>
      </c>
      <c r="I597" s="87" t="s">
        <v>16</v>
      </c>
      <c r="J597" s="81" t="s">
        <v>460</v>
      </c>
      <c r="K597" s="82" t="s">
        <v>18</v>
      </c>
      <c r="L597" s="179">
        <f t="shared" ref="L597:L628" si="89">SUM(M597:Q597)</f>
        <v>300000</v>
      </c>
      <c r="M597" s="323">
        <v>300000</v>
      </c>
      <c r="N597" s="310"/>
      <c r="O597" s="301"/>
      <c r="P597" s="301"/>
      <c r="Q597" s="301"/>
      <c r="R597" s="67"/>
      <c r="S597" s="67"/>
      <c r="T597" s="67"/>
      <c r="U597" s="67">
        <v>500000</v>
      </c>
      <c r="V597" s="9"/>
      <c r="W597" s="19"/>
      <c r="X597" s="19"/>
      <c r="Y597" s="19"/>
      <c r="Z597" s="52"/>
      <c r="AA597" s="52"/>
      <c r="AB597" s="19"/>
      <c r="AC597" s="19"/>
      <c r="AD597" s="19"/>
      <c r="AE597" s="19"/>
      <c r="AF597" s="19"/>
      <c r="AG597" s="19"/>
      <c r="AH597" s="19"/>
      <c r="AI597" s="14"/>
      <c r="AJ597" s="78"/>
      <c r="AK597" s="78"/>
      <c r="AL597" s="85"/>
      <c r="AM597" s="84"/>
    </row>
    <row r="598" spans="1:39" s="27" customFormat="1" ht="49.5">
      <c r="A598" s="72" t="s">
        <v>666</v>
      </c>
      <c r="B598" s="72"/>
      <c r="C598" s="72"/>
      <c r="D598" s="72" t="s">
        <v>1221</v>
      </c>
      <c r="E598" s="120" t="s">
        <v>905</v>
      </c>
      <c r="F598" s="120"/>
      <c r="G598" s="163" t="s">
        <v>476</v>
      </c>
      <c r="H598" s="163" t="s">
        <v>308</v>
      </c>
      <c r="I598" s="163" t="s">
        <v>309</v>
      </c>
      <c r="J598" s="125" t="s">
        <v>477</v>
      </c>
      <c r="K598" s="157" t="s">
        <v>478</v>
      </c>
      <c r="L598" s="179">
        <f t="shared" si="89"/>
        <v>900000</v>
      </c>
      <c r="M598" s="323">
        <v>900000</v>
      </c>
      <c r="N598" s="310"/>
      <c r="O598" s="301"/>
      <c r="P598" s="301"/>
      <c r="Q598" s="301"/>
      <c r="R598" s="67"/>
      <c r="S598" s="67"/>
      <c r="T598" s="67"/>
      <c r="U598" s="67">
        <v>900000</v>
      </c>
      <c r="V598" s="9">
        <v>2</v>
      </c>
      <c r="W598" s="19"/>
      <c r="X598" s="19"/>
      <c r="Y598" s="19">
        <v>900000</v>
      </c>
      <c r="Z598" s="52"/>
      <c r="AA598" s="52"/>
      <c r="AB598" s="19"/>
      <c r="AC598" s="19"/>
      <c r="AD598" s="19"/>
      <c r="AE598" s="19"/>
      <c r="AF598" s="19"/>
      <c r="AG598" s="19"/>
      <c r="AH598" s="19"/>
      <c r="AI598" s="14"/>
      <c r="AJ598" s="156">
        <v>100</v>
      </c>
      <c r="AK598" s="156" t="s">
        <v>271</v>
      </c>
      <c r="AL598" s="70">
        <v>2855500</v>
      </c>
      <c r="AM598" s="159">
        <v>68.5</v>
      </c>
    </row>
    <row r="599" spans="1:39" s="27" customFormat="1" ht="49.5">
      <c r="A599" s="72" t="s">
        <v>666</v>
      </c>
      <c r="B599" s="72"/>
      <c r="C599" s="72"/>
      <c r="D599" s="72" t="s">
        <v>1221</v>
      </c>
      <c r="E599" s="120" t="s">
        <v>905</v>
      </c>
      <c r="F599" s="120"/>
      <c r="G599" s="163" t="s">
        <v>476</v>
      </c>
      <c r="H599" s="163" t="s">
        <v>308</v>
      </c>
      <c r="I599" s="163" t="s">
        <v>309</v>
      </c>
      <c r="J599" s="125" t="s">
        <v>477</v>
      </c>
      <c r="K599" s="157" t="s">
        <v>956</v>
      </c>
      <c r="L599" s="179">
        <f t="shared" si="89"/>
        <v>11000000</v>
      </c>
      <c r="M599" s="323">
        <v>11000000</v>
      </c>
      <c r="N599" s="310"/>
      <c r="O599" s="302"/>
      <c r="P599" s="302"/>
      <c r="Q599" s="302"/>
      <c r="R599" s="68"/>
      <c r="S599" s="68"/>
      <c r="T599" s="68"/>
      <c r="U599" s="68">
        <v>11000000</v>
      </c>
      <c r="V599" s="9">
        <v>3</v>
      </c>
      <c r="W599" s="19"/>
      <c r="X599" s="19"/>
      <c r="Y599" s="19"/>
      <c r="Z599" s="52"/>
      <c r="AA599" s="52"/>
      <c r="AB599" s="19">
        <v>11000000</v>
      </c>
      <c r="AC599" s="19"/>
      <c r="AD599" s="19"/>
      <c r="AE599" s="19"/>
      <c r="AF599" s="19"/>
      <c r="AG599" s="19"/>
      <c r="AH599" s="19"/>
      <c r="AI599" s="14"/>
      <c r="AJ599" s="156">
        <v>100</v>
      </c>
      <c r="AK599" s="156">
        <v>2021</v>
      </c>
      <c r="AL599" s="70">
        <v>11000000</v>
      </c>
      <c r="AM599" s="159"/>
    </row>
    <row r="600" spans="1:39" s="27" customFormat="1" ht="33">
      <c r="A600" s="72" t="s">
        <v>666</v>
      </c>
      <c r="B600" s="72"/>
      <c r="C600" s="72"/>
      <c r="D600" s="72"/>
      <c r="E600" s="120"/>
      <c r="F600" s="120"/>
      <c r="G600" s="163" t="s">
        <v>476</v>
      </c>
      <c r="H600" s="163" t="s">
        <v>308</v>
      </c>
      <c r="I600" s="163" t="s">
        <v>309</v>
      </c>
      <c r="J600" s="125" t="s">
        <v>477</v>
      </c>
      <c r="K600" s="157" t="s">
        <v>1382</v>
      </c>
      <c r="L600" s="179">
        <f t="shared" si="89"/>
        <v>3000000</v>
      </c>
      <c r="M600" s="323">
        <v>3000000</v>
      </c>
      <c r="N600" s="310"/>
      <c r="O600" s="302"/>
      <c r="P600" s="302"/>
      <c r="Q600" s="302"/>
      <c r="R600" s="68"/>
      <c r="S600" s="68"/>
      <c r="T600" s="68"/>
      <c r="U600" s="68">
        <v>3000000</v>
      </c>
      <c r="V600" s="10">
        <v>3</v>
      </c>
      <c r="W600" s="68"/>
      <c r="X600" s="68"/>
      <c r="Y600" s="68"/>
      <c r="Z600" s="68"/>
      <c r="AA600" s="68"/>
      <c r="AB600" s="68">
        <v>3000000</v>
      </c>
      <c r="AC600" s="68"/>
      <c r="AD600" s="68"/>
      <c r="AE600" s="68"/>
      <c r="AF600" s="68"/>
      <c r="AG600" s="68"/>
      <c r="AH600" s="68"/>
      <c r="AI600" s="14"/>
      <c r="AJ600" s="164"/>
      <c r="AK600" s="164">
        <v>2021</v>
      </c>
      <c r="AL600" s="165"/>
      <c r="AM600" s="166"/>
    </row>
    <row r="601" spans="1:39" s="27" customFormat="1" ht="33">
      <c r="A601" s="72" t="s">
        <v>666</v>
      </c>
      <c r="B601" s="72"/>
      <c r="C601" s="72"/>
      <c r="D601" s="72"/>
      <c r="E601" s="120" t="s">
        <v>1230</v>
      </c>
      <c r="F601" s="120"/>
      <c r="G601" s="163">
        <v>1217310</v>
      </c>
      <c r="H601" s="163" t="s">
        <v>188</v>
      </c>
      <c r="I601" s="163" t="s">
        <v>108</v>
      </c>
      <c r="J601" s="125" t="s">
        <v>186</v>
      </c>
      <c r="K601" s="157" t="s">
        <v>461</v>
      </c>
      <c r="L601" s="179">
        <f t="shared" si="89"/>
        <v>3000000</v>
      </c>
      <c r="M601" s="323">
        <v>3000000</v>
      </c>
      <c r="N601" s="310"/>
      <c r="O601" s="302"/>
      <c r="P601" s="302"/>
      <c r="Q601" s="302"/>
      <c r="R601" s="68"/>
      <c r="S601" s="68"/>
      <c r="T601" s="68"/>
      <c r="U601" s="68">
        <v>5000000</v>
      </c>
      <c r="V601" s="10" t="s">
        <v>276</v>
      </c>
      <c r="W601" s="2"/>
      <c r="X601" s="2">
        <v>687481.48</v>
      </c>
      <c r="Y601" s="2">
        <v>4312518.5199999996</v>
      </c>
      <c r="Z601" s="2"/>
      <c r="AA601" s="2"/>
      <c r="AB601" s="2"/>
      <c r="AC601" s="2"/>
      <c r="AD601" s="2"/>
      <c r="AE601" s="2"/>
      <c r="AF601" s="2"/>
      <c r="AG601" s="2"/>
      <c r="AH601" s="2"/>
      <c r="AI601" s="14"/>
      <c r="AJ601" s="156">
        <v>100</v>
      </c>
      <c r="AK601" s="156">
        <v>2021</v>
      </c>
      <c r="AL601" s="70">
        <v>3000000</v>
      </c>
      <c r="AM601" s="159"/>
    </row>
    <row r="602" spans="1:39" s="27" customFormat="1" ht="33">
      <c r="A602" s="72" t="s">
        <v>666</v>
      </c>
      <c r="B602" s="72"/>
      <c r="C602" s="72"/>
      <c r="D602" s="72"/>
      <c r="E602" s="120" t="s">
        <v>1230</v>
      </c>
      <c r="F602" s="120"/>
      <c r="G602" s="163">
        <v>1217310</v>
      </c>
      <c r="H602" s="163" t="s">
        <v>188</v>
      </c>
      <c r="I602" s="163" t="s">
        <v>108</v>
      </c>
      <c r="J602" s="125" t="s">
        <v>186</v>
      </c>
      <c r="K602" s="157" t="s">
        <v>462</v>
      </c>
      <c r="L602" s="179">
        <f t="shared" si="89"/>
        <v>6000000</v>
      </c>
      <c r="M602" s="323">
        <v>6000000</v>
      </c>
      <c r="N602" s="310"/>
      <c r="O602" s="302"/>
      <c r="P602" s="302"/>
      <c r="Q602" s="302"/>
      <c r="R602" s="68"/>
      <c r="S602" s="68"/>
      <c r="T602" s="68"/>
      <c r="U602" s="68">
        <v>1000000</v>
      </c>
      <c r="V602" s="10">
        <v>3</v>
      </c>
      <c r="W602" s="2"/>
      <c r="X602" s="2"/>
      <c r="Y602" s="2"/>
      <c r="Z602" s="2"/>
      <c r="AA602" s="2"/>
      <c r="AB602" s="2">
        <v>1000000</v>
      </c>
      <c r="AC602" s="2"/>
      <c r="AD602" s="2"/>
      <c r="AE602" s="2"/>
      <c r="AF602" s="2"/>
      <c r="AG602" s="2"/>
      <c r="AH602" s="2"/>
      <c r="AI602" s="14"/>
      <c r="AJ602" s="156">
        <v>100</v>
      </c>
      <c r="AK602" s="156" t="s">
        <v>331</v>
      </c>
      <c r="AL602" s="70">
        <v>8659226</v>
      </c>
      <c r="AM602" s="159">
        <v>46</v>
      </c>
    </row>
    <row r="603" spans="1:39" s="27" customFormat="1" ht="33">
      <c r="A603" s="72" t="s">
        <v>666</v>
      </c>
      <c r="B603" s="72"/>
      <c r="C603" s="72"/>
      <c r="D603" s="72"/>
      <c r="E603" s="120" t="s">
        <v>1230</v>
      </c>
      <c r="F603" s="120"/>
      <c r="G603" s="163">
        <v>1217310</v>
      </c>
      <c r="H603" s="163" t="s">
        <v>188</v>
      </c>
      <c r="I603" s="163" t="s">
        <v>108</v>
      </c>
      <c r="J603" s="125" t="s">
        <v>186</v>
      </c>
      <c r="K603" s="157" t="s">
        <v>463</v>
      </c>
      <c r="L603" s="179">
        <f t="shared" si="89"/>
        <v>1000000</v>
      </c>
      <c r="M603" s="323">
        <v>1000000</v>
      </c>
      <c r="N603" s="310"/>
      <c r="O603" s="302"/>
      <c r="P603" s="302"/>
      <c r="Q603" s="302"/>
      <c r="R603" s="68"/>
      <c r="S603" s="68"/>
      <c r="T603" s="68"/>
      <c r="U603" s="68">
        <v>300000</v>
      </c>
      <c r="V603" s="10">
        <v>3</v>
      </c>
      <c r="W603" s="2"/>
      <c r="X603" s="2"/>
      <c r="Y603" s="2"/>
      <c r="Z603" s="2"/>
      <c r="AA603" s="2"/>
      <c r="AB603" s="2">
        <v>300000</v>
      </c>
      <c r="AC603" s="2"/>
      <c r="AD603" s="2"/>
      <c r="AE603" s="2"/>
      <c r="AF603" s="2"/>
      <c r="AG603" s="2"/>
      <c r="AH603" s="2"/>
      <c r="AI603" s="14"/>
      <c r="AJ603" s="156">
        <v>100</v>
      </c>
      <c r="AK603" s="156">
        <v>2021</v>
      </c>
      <c r="AL603" s="70">
        <v>1000000</v>
      </c>
      <c r="AM603" s="159"/>
    </row>
    <row r="604" spans="1:39" s="27" customFormat="1" ht="33">
      <c r="A604" s="72" t="s">
        <v>666</v>
      </c>
      <c r="B604" s="72"/>
      <c r="C604" s="72"/>
      <c r="D604" s="72"/>
      <c r="E604" s="120" t="s">
        <v>1230</v>
      </c>
      <c r="F604" s="120"/>
      <c r="G604" s="163">
        <v>1217310</v>
      </c>
      <c r="H604" s="163" t="s">
        <v>188</v>
      </c>
      <c r="I604" s="163" t="s">
        <v>108</v>
      </c>
      <c r="J604" s="125" t="s">
        <v>186</v>
      </c>
      <c r="K604" s="157" t="s">
        <v>464</v>
      </c>
      <c r="L604" s="179">
        <f t="shared" si="89"/>
        <v>300000</v>
      </c>
      <c r="M604" s="323">
        <v>300000</v>
      </c>
      <c r="N604" s="310"/>
      <c r="O604" s="302"/>
      <c r="P604" s="302"/>
      <c r="Q604" s="302"/>
      <c r="R604" s="68"/>
      <c r="S604" s="68"/>
      <c r="T604" s="68"/>
      <c r="U604" s="68">
        <v>15000000</v>
      </c>
      <c r="V604" s="10">
        <v>1</v>
      </c>
      <c r="W604" s="2"/>
      <c r="X604" s="2">
        <v>15000000</v>
      </c>
      <c r="Y604" s="2"/>
      <c r="Z604" s="2"/>
      <c r="AA604" s="2"/>
      <c r="AB604" s="2"/>
      <c r="AC604" s="2"/>
      <c r="AD604" s="2"/>
      <c r="AE604" s="2"/>
      <c r="AF604" s="2"/>
      <c r="AG604" s="2"/>
      <c r="AH604" s="2"/>
      <c r="AI604" s="14"/>
      <c r="AJ604" s="156">
        <v>100</v>
      </c>
      <c r="AK604" s="156">
        <v>2021</v>
      </c>
      <c r="AL604" s="70">
        <v>300000</v>
      </c>
      <c r="AM604" s="159"/>
    </row>
    <row r="605" spans="1:39" s="27" customFormat="1" ht="33">
      <c r="A605" s="72" t="s">
        <v>666</v>
      </c>
      <c r="B605" s="72"/>
      <c r="C605" s="72"/>
      <c r="D605" s="72"/>
      <c r="E605" s="120" t="s">
        <v>1230</v>
      </c>
      <c r="F605" s="120"/>
      <c r="G605" s="163" t="s">
        <v>187</v>
      </c>
      <c r="H605" s="163" t="s">
        <v>188</v>
      </c>
      <c r="I605" s="163" t="s">
        <v>108</v>
      </c>
      <c r="J605" s="125" t="s">
        <v>186</v>
      </c>
      <c r="K605" s="157" t="s">
        <v>853</v>
      </c>
      <c r="L605" s="179">
        <f t="shared" si="89"/>
        <v>14477400</v>
      </c>
      <c r="M605" s="323">
        <f>14477400</f>
        <v>14477400</v>
      </c>
      <c r="N605" s="310"/>
      <c r="O605" s="302"/>
      <c r="P605" s="302"/>
      <c r="Q605" s="302"/>
      <c r="R605" s="68"/>
      <c r="S605" s="68"/>
      <c r="T605" s="68"/>
      <c r="U605" s="68">
        <f>45263000-2000000</f>
        <v>43263000</v>
      </c>
      <c r="V605" s="10">
        <v>1.2</v>
      </c>
      <c r="W605" s="2"/>
      <c r="X605" s="2">
        <v>33599983.159999996</v>
      </c>
      <c r="Y605" s="2">
        <f>11663016.84-2000000</f>
        <v>9663016.8399999999</v>
      </c>
      <c r="Z605" s="2"/>
      <c r="AA605" s="2"/>
      <c r="AB605" s="2"/>
      <c r="AC605" s="2"/>
      <c r="AD605" s="2"/>
      <c r="AE605" s="2"/>
      <c r="AF605" s="2"/>
      <c r="AG605" s="2"/>
      <c r="AH605" s="2"/>
      <c r="AI605" s="14"/>
      <c r="AJ605" s="156">
        <v>100</v>
      </c>
      <c r="AK605" s="156" t="s">
        <v>271</v>
      </c>
      <c r="AL605" s="70">
        <v>14477400</v>
      </c>
      <c r="AM605" s="159"/>
    </row>
    <row r="606" spans="1:39" s="27" customFormat="1" ht="33">
      <c r="A606" s="72" t="s">
        <v>666</v>
      </c>
      <c r="B606" s="72"/>
      <c r="C606" s="72"/>
      <c r="D606" s="72"/>
      <c r="E606" s="120" t="s">
        <v>1230</v>
      </c>
      <c r="F606" s="120"/>
      <c r="G606" s="163" t="s">
        <v>187</v>
      </c>
      <c r="H606" s="163" t="s">
        <v>188</v>
      </c>
      <c r="I606" s="163" t="s">
        <v>108</v>
      </c>
      <c r="J606" s="125" t="s">
        <v>186</v>
      </c>
      <c r="K606" s="157" t="s">
        <v>1270</v>
      </c>
      <c r="L606" s="179">
        <f t="shared" si="89"/>
        <v>1410000</v>
      </c>
      <c r="M606" s="323">
        <v>1410000</v>
      </c>
      <c r="N606" s="310"/>
      <c r="O606" s="302"/>
      <c r="P606" s="302"/>
      <c r="Q606" s="302"/>
      <c r="R606" s="68"/>
      <c r="S606" s="68"/>
      <c r="T606" s="68"/>
      <c r="U606" s="68">
        <v>1000000</v>
      </c>
      <c r="V606" s="10">
        <v>3</v>
      </c>
      <c r="W606" s="2"/>
      <c r="X606" s="2"/>
      <c r="Y606" s="2"/>
      <c r="Z606" s="2"/>
      <c r="AA606" s="2"/>
      <c r="AB606" s="2">
        <v>1000000</v>
      </c>
      <c r="AC606" s="2"/>
      <c r="AD606" s="2"/>
      <c r="AE606" s="2"/>
      <c r="AF606" s="2"/>
      <c r="AG606" s="2"/>
      <c r="AH606" s="2"/>
      <c r="AI606" s="14"/>
      <c r="AJ606" s="156"/>
      <c r="AK606" s="156" t="s">
        <v>271</v>
      </c>
      <c r="AL606" s="70"/>
      <c r="AM606" s="159"/>
    </row>
    <row r="607" spans="1:39" s="27" customFormat="1" ht="49.5">
      <c r="A607" s="72" t="s">
        <v>666</v>
      </c>
      <c r="B607" s="72"/>
      <c r="C607" s="72"/>
      <c r="D607" s="72"/>
      <c r="E607" s="120" t="s">
        <v>1230</v>
      </c>
      <c r="F607" s="120"/>
      <c r="G607" s="163" t="s">
        <v>187</v>
      </c>
      <c r="H607" s="163" t="s">
        <v>188</v>
      </c>
      <c r="I607" s="163" t="s">
        <v>108</v>
      </c>
      <c r="J607" s="125" t="s">
        <v>186</v>
      </c>
      <c r="K607" s="157" t="s">
        <v>854</v>
      </c>
      <c r="L607" s="179">
        <f t="shared" si="89"/>
        <v>10285600</v>
      </c>
      <c r="M607" s="323">
        <f>17285600-5000000-2000000</f>
        <v>10285600</v>
      </c>
      <c r="N607" s="310"/>
      <c r="O607" s="302"/>
      <c r="P607" s="302"/>
      <c r="Q607" s="302"/>
      <c r="R607" s="68"/>
      <c r="S607" s="68"/>
      <c r="T607" s="68"/>
      <c r="U607" s="68">
        <v>500000</v>
      </c>
      <c r="V607" s="10">
        <v>1.3</v>
      </c>
      <c r="W607" s="2"/>
      <c r="X607" s="2">
        <v>309632</v>
      </c>
      <c r="Y607" s="2"/>
      <c r="Z607" s="2"/>
      <c r="AA607" s="2"/>
      <c r="AB607" s="2">
        <v>190368</v>
      </c>
      <c r="AC607" s="2"/>
      <c r="AD607" s="2"/>
      <c r="AE607" s="2"/>
      <c r="AF607" s="2"/>
      <c r="AG607" s="2"/>
      <c r="AH607" s="2"/>
      <c r="AI607" s="14"/>
      <c r="AJ607" s="156">
        <v>100</v>
      </c>
      <c r="AK607" s="156" t="s">
        <v>271</v>
      </c>
      <c r="AL607" s="70">
        <v>10285600</v>
      </c>
      <c r="AM607" s="159">
        <v>31.3</v>
      </c>
    </row>
    <row r="608" spans="1:39" s="27" customFormat="1" ht="33">
      <c r="A608" s="72" t="s">
        <v>666</v>
      </c>
      <c r="B608" s="72"/>
      <c r="C608" s="72"/>
      <c r="D608" s="72"/>
      <c r="E608" s="120" t="s">
        <v>1230</v>
      </c>
      <c r="F608" s="120"/>
      <c r="G608" s="163" t="s">
        <v>187</v>
      </c>
      <c r="H608" s="163" t="s">
        <v>188</v>
      </c>
      <c r="I608" s="163" t="s">
        <v>108</v>
      </c>
      <c r="J608" s="125" t="s">
        <v>186</v>
      </c>
      <c r="K608" s="157" t="s">
        <v>471</v>
      </c>
      <c r="L608" s="179">
        <f t="shared" si="89"/>
        <v>3000000</v>
      </c>
      <c r="M608" s="323">
        <v>3000000</v>
      </c>
      <c r="N608" s="310"/>
      <c r="O608" s="302"/>
      <c r="P608" s="302"/>
      <c r="Q608" s="302"/>
      <c r="R608" s="68"/>
      <c r="S608" s="68"/>
      <c r="T608" s="68"/>
      <c r="U608" s="68">
        <v>1000000</v>
      </c>
      <c r="V608" s="10">
        <v>3</v>
      </c>
      <c r="W608" s="2"/>
      <c r="X608" s="2"/>
      <c r="Y608" s="2"/>
      <c r="Z608" s="2"/>
      <c r="AA608" s="2"/>
      <c r="AB608" s="2">
        <v>1000000</v>
      </c>
      <c r="AC608" s="2"/>
      <c r="AD608" s="2"/>
      <c r="AE608" s="2"/>
      <c r="AF608" s="2"/>
      <c r="AG608" s="2"/>
      <c r="AH608" s="2"/>
      <c r="AI608" s="14"/>
      <c r="AJ608" s="167">
        <v>45.513982578157744</v>
      </c>
      <c r="AK608" s="156" t="s">
        <v>271</v>
      </c>
      <c r="AL608" s="70">
        <v>6591381</v>
      </c>
      <c r="AM608" s="159">
        <v>3.1</v>
      </c>
    </row>
    <row r="609" spans="1:39" s="27" customFormat="1" ht="33">
      <c r="A609" s="72" t="s">
        <v>666</v>
      </c>
      <c r="B609" s="72"/>
      <c r="C609" s="72"/>
      <c r="D609" s="72"/>
      <c r="E609" s="120" t="s">
        <v>1230</v>
      </c>
      <c r="F609" s="120"/>
      <c r="G609" s="163" t="s">
        <v>187</v>
      </c>
      <c r="H609" s="163" t="s">
        <v>188</v>
      </c>
      <c r="I609" s="163" t="s">
        <v>108</v>
      </c>
      <c r="J609" s="125" t="s">
        <v>186</v>
      </c>
      <c r="K609" s="157" t="s">
        <v>472</v>
      </c>
      <c r="L609" s="179">
        <f t="shared" si="89"/>
        <v>1700000</v>
      </c>
      <c r="M609" s="323">
        <v>1700000</v>
      </c>
      <c r="N609" s="310"/>
      <c r="O609" s="302"/>
      <c r="P609" s="302"/>
      <c r="Q609" s="302"/>
      <c r="R609" s="68"/>
      <c r="S609" s="68"/>
      <c r="T609" s="68"/>
      <c r="U609" s="68">
        <v>1835700</v>
      </c>
      <c r="V609" s="69">
        <v>2</v>
      </c>
      <c r="W609" s="67"/>
      <c r="X609" s="67"/>
      <c r="Y609" s="67">
        <v>1835700</v>
      </c>
      <c r="Z609" s="67"/>
      <c r="AA609" s="67"/>
      <c r="AB609" s="67"/>
      <c r="AC609" s="67"/>
      <c r="AD609" s="67"/>
      <c r="AE609" s="67"/>
      <c r="AF609" s="67"/>
      <c r="AG609" s="67"/>
      <c r="AH609" s="67"/>
      <c r="AI609" s="14"/>
      <c r="AJ609" s="156">
        <v>100</v>
      </c>
      <c r="AK609" s="156" t="s">
        <v>413</v>
      </c>
      <c r="AL609" s="70">
        <v>4516764</v>
      </c>
      <c r="AM609" s="159">
        <v>63</v>
      </c>
    </row>
    <row r="610" spans="1:39" s="27" customFormat="1" ht="33">
      <c r="A610" s="72" t="s">
        <v>666</v>
      </c>
      <c r="B610" s="72"/>
      <c r="C610" s="72"/>
      <c r="D610" s="72"/>
      <c r="E610" s="120" t="s">
        <v>1230</v>
      </c>
      <c r="F610" s="120"/>
      <c r="G610" s="163" t="s">
        <v>187</v>
      </c>
      <c r="H610" s="163" t="s">
        <v>188</v>
      </c>
      <c r="I610" s="163" t="s">
        <v>108</v>
      </c>
      <c r="J610" s="125" t="s">
        <v>186</v>
      </c>
      <c r="K610" s="157" t="s">
        <v>473</v>
      </c>
      <c r="L610" s="179">
        <f t="shared" si="89"/>
        <v>1300000</v>
      </c>
      <c r="M610" s="323">
        <v>1300000</v>
      </c>
      <c r="N610" s="310"/>
      <c r="O610" s="302"/>
      <c r="P610" s="302"/>
      <c r="Q610" s="302"/>
      <c r="R610" s="59"/>
      <c r="S610" s="59"/>
      <c r="T610" s="59"/>
      <c r="U610" s="59">
        <f>10000000-4619671.38</f>
        <v>5380328.6200000001</v>
      </c>
      <c r="V610" s="9" t="s">
        <v>276</v>
      </c>
      <c r="W610" s="19"/>
      <c r="X610" s="19">
        <v>676283.31</v>
      </c>
      <c r="Y610" s="19" t="e">
        <f>#REF!-X610</f>
        <v>#REF!</v>
      </c>
      <c r="Z610" s="52"/>
      <c r="AA610" s="52"/>
      <c r="AB610" s="19"/>
      <c r="AC610" s="19"/>
      <c r="AD610" s="19"/>
      <c r="AE610" s="19"/>
      <c r="AF610" s="19"/>
      <c r="AG610" s="19"/>
      <c r="AH610" s="19"/>
      <c r="AI610" s="14"/>
      <c r="AJ610" s="156">
        <v>100</v>
      </c>
      <c r="AK610" s="156" t="s">
        <v>347</v>
      </c>
      <c r="AL610" s="70">
        <v>5183966</v>
      </c>
      <c r="AM610" s="159">
        <v>75</v>
      </c>
    </row>
    <row r="611" spans="1:39" s="51" customFormat="1" ht="33">
      <c r="A611" s="72" t="s">
        <v>666</v>
      </c>
      <c r="B611" s="72"/>
      <c r="C611" s="72"/>
      <c r="D611" s="72" t="s">
        <v>1221</v>
      </c>
      <c r="E611" s="120" t="s">
        <v>905</v>
      </c>
      <c r="F611" s="120"/>
      <c r="G611" s="163" t="s">
        <v>187</v>
      </c>
      <c r="H611" s="163" t="s">
        <v>188</v>
      </c>
      <c r="I611" s="163" t="s">
        <v>108</v>
      </c>
      <c r="J611" s="125" t="s">
        <v>186</v>
      </c>
      <c r="K611" s="157" t="s">
        <v>856</v>
      </c>
      <c r="L611" s="179">
        <f t="shared" si="89"/>
        <v>2000000</v>
      </c>
      <c r="M611" s="323">
        <v>2000000</v>
      </c>
      <c r="N611" s="310"/>
      <c r="O611" s="302"/>
      <c r="P611" s="302"/>
      <c r="Q611" s="302"/>
      <c r="R611" s="59"/>
      <c r="S611" s="59"/>
      <c r="T611" s="59"/>
      <c r="U611" s="59">
        <v>500000</v>
      </c>
      <c r="V611" s="67" t="e">
        <f>#REF!-5380328.62</f>
        <v>#REF!</v>
      </c>
      <c r="W611" s="52"/>
      <c r="X611" s="52"/>
      <c r="Y611" s="52"/>
      <c r="Z611" s="52"/>
      <c r="AA611" s="52"/>
      <c r="AB611" s="52"/>
      <c r="AC611" s="52"/>
      <c r="AD611" s="52"/>
      <c r="AE611" s="52"/>
      <c r="AF611" s="52"/>
      <c r="AG611" s="52"/>
      <c r="AH611" s="52"/>
      <c r="AI611" s="14"/>
      <c r="AJ611" s="167">
        <v>47.6</v>
      </c>
      <c r="AK611" s="156">
        <v>2021</v>
      </c>
      <c r="AL611" s="70">
        <v>4200000</v>
      </c>
      <c r="AM611" s="159"/>
    </row>
    <row r="612" spans="1:39" s="51" customFormat="1" ht="49.5">
      <c r="A612" s="72" t="s">
        <v>666</v>
      </c>
      <c r="B612" s="72"/>
      <c r="C612" s="72"/>
      <c r="D612" s="72" t="s">
        <v>1222</v>
      </c>
      <c r="E612" s="120" t="s">
        <v>904</v>
      </c>
      <c r="F612" s="120"/>
      <c r="G612" s="163" t="s">
        <v>474</v>
      </c>
      <c r="H612" s="163" t="s">
        <v>303</v>
      </c>
      <c r="I612" s="163" t="s">
        <v>108</v>
      </c>
      <c r="J612" s="125" t="s">
        <v>282</v>
      </c>
      <c r="K612" s="157" t="s">
        <v>855</v>
      </c>
      <c r="L612" s="179">
        <f t="shared" si="89"/>
        <v>800000</v>
      </c>
      <c r="M612" s="323">
        <v>800000</v>
      </c>
      <c r="N612" s="310"/>
      <c r="O612" s="302"/>
      <c r="P612" s="302"/>
      <c r="Q612" s="302"/>
      <c r="R612" s="59"/>
      <c r="S612" s="59"/>
      <c r="T612" s="59"/>
      <c r="U612" s="59">
        <v>800000</v>
      </c>
      <c r="V612" s="69"/>
      <c r="W612" s="52"/>
      <c r="X612" s="52"/>
      <c r="Y612" s="52"/>
      <c r="Z612" s="52"/>
      <c r="AA612" s="52"/>
      <c r="AB612" s="52"/>
      <c r="AC612" s="52"/>
      <c r="AD612" s="52"/>
      <c r="AE612" s="52"/>
      <c r="AF612" s="52"/>
      <c r="AG612" s="52"/>
      <c r="AH612" s="52"/>
      <c r="AI612" s="14"/>
      <c r="AJ612" s="156">
        <v>100</v>
      </c>
      <c r="AK612" s="156" t="s">
        <v>271</v>
      </c>
      <c r="AL612" s="70">
        <v>1041649</v>
      </c>
      <c r="AM612" s="159">
        <v>25.4</v>
      </c>
    </row>
    <row r="613" spans="1:39" s="51" customFormat="1" ht="33">
      <c r="A613" s="72" t="s">
        <v>666</v>
      </c>
      <c r="B613" s="72"/>
      <c r="C613" s="72"/>
      <c r="D613" s="72"/>
      <c r="E613" s="120" t="s">
        <v>1230</v>
      </c>
      <c r="F613" s="120"/>
      <c r="G613" s="163" t="s">
        <v>474</v>
      </c>
      <c r="H613" s="163" t="s">
        <v>303</v>
      </c>
      <c r="I613" s="163" t="s">
        <v>108</v>
      </c>
      <c r="J613" s="125" t="s">
        <v>282</v>
      </c>
      <c r="K613" s="157" t="s">
        <v>475</v>
      </c>
      <c r="L613" s="179">
        <f t="shared" si="89"/>
        <v>1327000</v>
      </c>
      <c r="M613" s="323">
        <v>1327000</v>
      </c>
      <c r="N613" s="310"/>
      <c r="O613" s="302"/>
      <c r="P613" s="302"/>
      <c r="Q613" s="302"/>
      <c r="R613" s="59"/>
      <c r="S613" s="59"/>
      <c r="T613" s="59"/>
      <c r="U613" s="59">
        <v>800000</v>
      </c>
      <c r="V613" s="55"/>
      <c r="W613" s="52"/>
      <c r="X613" s="52"/>
      <c r="Y613" s="52"/>
      <c r="Z613" s="52"/>
      <c r="AA613" s="52"/>
      <c r="AB613" s="52"/>
      <c r="AC613" s="52"/>
      <c r="AD613" s="52"/>
      <c r="AE613" s="52"/>
      <c r="AF613" s="52"/>
      <c r="AG613" s="52"/>
      <c r="AH613" s="52"/>
      <c r="AI613" s="14"/>
      <c r="AJ613" s="156">
        <v>100</v>
      </c>
      <c r="AK613" s="156" t="s">
        <v>413</v>
      </c>
      <c r="AL613" s="70">
        <v>8032243</v>
      </c>
      <c r="AM613" s="159">
        <v>57</v>
      </c>
    </row>
    <row r="614" spans="1:39" s="51" customFormat="1" ht="33">
      <c r="A614" s="72" t="s">
        <v>666</v>
      </c>
      <c r="B614" s="72"/>
      <c r="C614" s="72"/>
      <c r="D614" s="72"/>
      <c r="E614" s="120"/>
      <c r="F614" s="120"/>
      <c r="G614" s="163" t="s">
        <v>1010</v>
      </c>
      <c r="H614" s="163" t="s">
        <v>1008</v>
      </c>
      <c r="I614" s="163" t="s">
        <v>1009</v>
      </c>
      <c r="J614" s="125" t="s">
        <v>1007</v>
      </c>
      <c r="K614" s="157" t="s">
        <v>1383</v>
      </c>
      <c r="L614" s="179">
        <f t="shared" si="89"/>
        <v>2000000</v>
      </c>
      <c r="M614" s="323">
        <v>2000000</v>
      </c>
      <c r="N614" s="310"/>
      <c r="O614" s="302"/>
      <c r="P614" s="302"/>
      <c r="Q614" s="302"/>
      <c r="R614" s="59"/>
      <c r="S614" s="59"/>
      <c r="T614" s="59"/>
      <c r="U614" s="59">
        <v>800000</v>
      </c>
      <c r="V614" s="55"/>
      <c r="W614" s="52"/>
      <c r="X614" s="52"/>
      <c r="Y614" s="52"/>
      <c r="Z614" s="52"/>
      <c r="AA614" s="52"/>
      <c r="AB614" s="52"/>
      <c r="AC614" s="52"/>
      <c r="AD614" s="52"/>
      <c r="AE614" s="52"/>
      <c r="AF614" s="52"/>
      <c r="AG614" s="52"/>
      <c r="AH614" s="52"/>
      <c r="AI614" s="14"/>
      <c r="AJ614" s="156"/>
      <c r="AK614" s="115">
        <v>2021</v>
      </c>
      <c r="AL614" s="118"/>
      <c r="AM614" s="117"/>
    </row>
    <row r="615" spans="1:39" s="51" customFormat="1" ht="33">
      <c r="A615" s="72" t="s">
        <v>666</v>
      </c>
      <c r="B615" s="72"/>
      <c r="C615" s="72"/>
      <c r="D615" s="72"/>
      <c r="E615" s="120"/>
      <c r="F615" s="120"/>
      <c r="G615" s="163" t="s">
        <v>1010</v>
      </c>
      <c r="H615" s="163" t="s">
        <v>1008</v>
      </c>
      <c r="I615" s="163" t="s">
        <v>1009</v>
      </c>
      <c r="J615" s="125" t="s">
        <v>1007</v>
      </c>
      <c r="K615" s="157" t="s">
        <v>1384</v>
      </c>
      <c r="L615" s="179">
        <f t="shared" si="89"/>
        <v>10000000</v>
      </c>
      <c r="M615" s="323">
        <f>5000000+5000000</f>
        <v>10000000</v>
      </c>
      <c r="N615" s="310"/>
      <c r="O615" s="302"/>
      <c r="P615" s="302"/>
      <c r="Q615" s="302"/>
      <c r="R615" s="59"/>
      <c r="S615" s="59"/>
      <c r="T615" s="59"/>
      <c r="U615" s="59">
        <v>1498590.17</v>
      </c>
      <c r="V615" s="55"/>
      <c r="W615" s="52"/>
      <c r="X615" s="52"/>
      <c r="Y615" s="52"/>
      <c r="Z615" s="52"/>
      <c r="AA615" s="52"/>
      <c r="AB615" s="52"/>
      <c r="AC615" s="52"/>
      <c r="AD615" s="52"/>
      <c r="AE615" s="52"/>
      <c r="AF615" s="52"/>
      <c r="AG615" s="52"/>
      <c r="AH615" s="52"/>
      <c r="AI615" s="14"/>
      <c r="AJ615" s="156"/>
      <c r="AK615" s="115">
        <v>2021</v>
      </c>
      <c r="AL615" s="118"/>
      <c r="AM615" s="117"/>
    </row>
    <row r="616" spans="1:39" s="51" customFormat="1" ht="33">
      <c r="A616" s="72" t="s">
        <v>666</v>
      </c>
      <c r="B616" s="72"/>
      <c r="C616" s="72"/>
      <c r="D616" s="72"/>
      <c r="E616" s="120"/>
      <c r="F616" s="120"/>
      <c r="G616" s="163" t="s">
        <v>1010</v>
      </c>
      <c r="H616" s="163" t="s">
        <v>1008</v>
      </c>
      <c r="I616" s="163" t="s">
        <v>1009</v>
      </c>
      <c r="J616" s="125" t="s">
        <v>1007</v>
      </c>
      <c r="K616" s="157" t="s">
        <v>1385</v>
      </c>
      <c r="L616" s="179">
        <f t="shared" si="89"/>
        <v>3468400</v>
      </c>
      <c r="M616" s="323">
        <f>1968400+1500000</f>
        <v>3468400</v>
      </c>
      <c r="N616" s="310"/>
      <c r="O616" s="302"/>
      <c r="P616" s="302"/>
      <c r="Q616" s="302"/>
      <c r="R616" s="59"/>
      <c r="S616" s="59"/>
      <c r="T616" s="59"/>
      <c r="U616" s="59">
        <v>221081.21000000002</v>
      </c>
      <c r="V616" s="55"/>
      <c r="W616" s="52"/>
      <c r="X616" s="52"/>
      <c r="Y616" s="52"/>
      <c r="Z616" s="52"/>
      <c r="AA616" s="52"/>
      <c r="AB616" s="52"/>
      <c r="AC616" s="52"/>
      <c r="AD616" s="52"/>
      <c r="AE616" s="52"/>
      <c r="AF616" s="52"/>
      <c r="AG616" s="52"/>
      <c r="AH616" s="52"/>
      <c r="AI616" s="14"/>
      <c r="AJ616" s="156"/>
      <c r="AK616" s="115">
        <v>2021</v>
      </c>
      <c r="AL616" s="118"/>
      <c r="AM616" s="117"/>
    </row>
    <row r="617" spans="1:39" s="27" customFormat="1" ht="33">
      <c r="A617" s="72" t="s">
        <v>666</v>
      </c>
      <c r="B617" s="72"/>
      <c r="C617" s="72"/>
      <c r="D617" s="72"/>
      <c r="E617" s="120"/>
      <c r="F617" s="120"/>
      <c r="G617" s="163" t="s">
        <v>1010</v>
      </c>
      <c r="H617" s="163" t="s">
        <v>1008</v>
      </c>
      <c r="I617" s="163" t="s">
        <v>1009</v>
      </c>
      <c r="J617" s="125" t="s">
        <v>1007</v>
      </c>
      <c r="K617" s="157" t="s">
        <v>1386</v>
      </c>
      <c r="L617" s="179">
        <f t="shared" si="89"/>
        <v>4968400</v>
      </c>
      <c r="M617" s="323">
        <f>1968400+3000000</f>
        <v>4968400</v>
      </c>
      <c r="N617" s="310"/>
      <c r="O617" s="302"/>
      <c r="P617" s="302"/>
      <c r="Q617" s="302"/>
      <c r="R617" s="59"/>
      <c r="S617" s="59"/>
      <c r="T617" s="59"/>
      <c r="U617" s="59">
        <f>5401300-1000000</f>
        <v>4401300</v>
      </c>
      <c r="V617" s="9">
        <v>3</v>
      </c>
      <c r="W617" s="19"/>
      <c r="X617" s="19"/>
      <c r="Y617" s="19"/>
      <c r="Z617" s="52"/>
      <c r="AA617" s="52"/>
      <c r="AB617" s="19">
        <v>5401300</v>
      </c>
      <c r="AC617" s="19"/>
      <c r="AD617" s="19"/>
      <c r="AE617" s="19"/>
      <c r="AF617" s="19"/>
      <c r="AG617" s="19"/>
      <c r="AH617" s="19"/>
      <c r="AI617" s="14"/>
      <c r="AJ617" s="156"/>
      <c r="AK617" s="115">
        <v>2021</v>
      </c>
      <c r="AL617" s="118"/>
      <c r="AM617" s="117"/>
    </row>
    <row r="618" spans="1:39" s="27" customFormat="1" ht="33">
      <c r="A618" s="72" t="s">
        <v>666</v>
      </c>
      <c r="B618" s="72"/>
      <c r="C618" s="72"/>
      <c r="D618" s="72"/>
      <c r="E618" s="120"/>
      <c r="F618" s="120"/>
      <c r="G618" s="163" t="s">
        <v>1010</v>
      </c>
      <c r="H618" s="163" t="s">
        <v>1008</v>
      </c>
      <c r="I618" s="163" t="s">
        <v>1009</v>
      </c>
      <c r="J618" s="125" t="s">
        <v>1007</v>
      </c>
      <c r="K618" s="157" t="s">
        <v>1387</v>
      </c>
      <c r="L618" s="179">
        <f t="shared" si="89"/>
        <v>4000000</v>
      </c>
      <c r="M618" s="323">
        <f>1500000+2500000</f>
        <v>4000000</v>
      </c>
      <c r="N618" s="310"/>
      <c r="O618" s="302"/>
      <c r="P618" s="302"/>
      <c r="Q618" s="302"/>
      <c r="R618" s="68"/>
      <c r="S618" s="68"/>
      <c r="T618" s="68"/>
      <c r="U618" s="68">
        <f>10887400-1410000</f>
        <v>9477400</v>
      </c>
      <c r="V618" s="9" t="s">
        <v>470</v>
      </c>
      <c r="W618" s="19"/>
      <c r="X618" s="19">
        <v>6088830.1600000001</v>
      </c>
      <c r="Y618" s="19">
        <v>2936369.84</v>
      </c>
      <c r="Z618" s="52"/>
      <c r="AA618" s="52"/>
      <c r="AB618" s="19">
        <v>1862200</v>
      </c>
      <c r="AC618" s="19"/>
      <c r="AD618" s="19"/>
      <c r="AE618" s="19"/>
      <c r="AF618" s="19"/>
      <c r="AG618" s="19"/>
      <c r="AH618" s="19"/>
      <c r="AI618" s="14"/>
      <c r="AJ618" s="156"/>
      <c r="AK618" s="115">
        <v>2021</v>
      </c>
      <c r="AL618" s="118"/>
      <c r="AM618" s="117"/>
    </row>
    <row r="619" spans="1:39" s="66" customFormat="1" ht="33">
      <c r="A619" s="72" t="s">
        <v>666</v>
      </c>
      <c r="B619" s="72"/>
      <c r="C619" s="72"/>
      <c r="D619" s="72"/>
      <c r="E619" s="120"/>
      <c r="F619" s="120"/>
      <c r="G619" s="163" t="s">
        <v>1010</v>
      </c>
      <c r="H619" s="163" t="s">
        <v>1008</v>
      </c>
      <c r="I619" s="163" t="s">
        <v>1009</v>
      </c>
      <c r="J619" s="125" t="s">
        <v>1007</v>
      </c>
      <c r="K619" s="157" t="s">
        <v>1388</v>
      </c>
      <c r="L619" s="179">
        <f t="shared" si="89"/>
        <v>3500000</v>
      </c>
      <c r="M619" s="323">
        <f>1000000+2500000</f>
        <v>3500000</v>
      </c>
      <c r="N619" s="310"/>
      <c r="O619" s="302"/>
      <c r="P619" s="302"/>
      <c r="Q619" s="302"/>
      <c r="R619" s="68"/>
      <c r="S619" s="68"/>
      <c r="T619" s="68"/>
      <c r="U619" s="68">
        <v>1410000</v>
      </c>
      <c r="V619" s="69"/>
      <c r="W619" s="67"/>
      <c r="X619" s="67"/>
      <c r="Y619" s="67"/>
      <c r="Z619" s="67"/>
      <c r="AA619" s="67"/>
      <c r="AB619" s="67"/>
      <c r="AC619" s="67"/>
      <c r="AD619" s="67"/>
      <c r="AE619" s="67"/>
      <c r="AF619" s="67"/>
      <c r="AG619" s="67"/>
      <c r="AH619" s="67"/>
      <c r="AI619" s="71"/>
      <c r="AJ619" s="156"/>
      <c r="AK619" s="115">
        <v>2021</v>
      </c>
      <c r="AL619" s="118"/>
      <c r="AM619" s="117"/>
    </row>
    <row r="620" spans="1:39" s="27" customFormat="1" ht="33">
      <c r="A620" s="72" t="s">
        <v>666</v>
      </c>
      <c r="B620" s="72"/>
      <c r="C620" s="72"/>
      <c r="D620" s="72"/>
      <c r="E620" s="120"/>
      <c r="F620" s="120"/>
      <c r="G620" s="163" t="s">
        <v>1010</v>
      </c>
      <c r="H620" s="163" t="s">
        <v>1008</v>
      </c>
      <c r="I620" s="163" t="s">
        <v>1009</v>
      </c>
      <c r="J620" s="125" t="s">
        <v>1007</v>
      </c>
      <c r="K620" s="157" t="s">
        <v>1389</v>
      </c>
      <c r="L620" s="179">
        <f t="shared" si="89"/>
        <v>7000000</v>
      </c>
      <c r="M620" s="323">
        <v>7000000</v>
      </c>
      <c r="N620" s="310"/>
      <c r="O620" s="302"/>
      <c r="P620" s="302"/>
      <c r="Q620" s="302"/>
      <c r="R620" s="68"/>
      <c r="S620" s="68"/>
      <c r="T620" s="68"/>
      <c r="U620" s="68">
        <v>7285600</v>
      </c>
      <c r="V620" s="9" t="s">
        <v>470</v>
      </c>
      <c r="W620" s="19"/>
      <c r="X620" s="19">
        <v>2285576.19</v>
      </c>
      <c r="Y620" s="19">
        <v>1348000</v>
      </c>
      <c r="Z620" s="52"/>
      <c r="AA620" s="52"/>
      <c r="AB620" s="19">
        <v>3625023.81</v>
      </c>
      <c r="AC620" s="19"/>
      <c r="AD620" s="19"/>
      <c r="AE620" s="19"/>
      <c r="AF620" s="19"/>
      <c r="AG620" s="19"/>
      <c r="AH620" s="19"/>
      <c r="AI620" s="14"/>
      <c r="AJ620" s="156"/>
      <c r="AK620" s="115">
        <v>2021</v>
      </c>
      <c r="AL620" s="118"/>
      <c r="AM620" s="117"/>
    </row>
    <row r="621" spans="1:39" s="27" customFormat="1" ht="33">
      <c r="A621" s="72" t="s">
        <v>666</v>
      </c>
      <c r="B621" s="72"/>
      <c r="C621" s="72"/>
      <c r="D621" s="72" t="s">
        <v>1221</v>
      </c>
      <c r="E621" s="120" t="s">
        <v>905</v>
      </c>
      <c r="F621" s="120"/>
      <c r="G621" s="163" t="s">
        <v>1010</v>
      </c>
      <c r="H621" s="163" t="s">
        <v>1008</v>
      </c>
      <c r="I621" s="163" t="s">
        <v>1009</v>
      </c>
      <c r="J621" s="125" t="s">
        <v>1007</v>
      </c>
      <c r="K621" s="157" t="s">
        <v>465</v>
      </c>
      <c r="L621" s="179">
        <f t="shared" si="89"/>
        <v>15000000</v>
      </c>
      <c r="M621" s="323">
        <v>15000000</v>
      </c>
      <c r="N621" s="310"/>
      <c r="O621" s="302"/>
      <c r="P621" s="302"/>
      <c r="Q621" s="302"/>
      <c r="R621" s="67"/>
      <c r="S621" s="67"/>
      <c r="T621" s="67"/>
      <c r="U621" s="67">
        <v>3000000</v>
      </c>
      <c r="V621" s="9" t="s">
        <v>276</v>
      </c>
      <c r="W621" s="19"/>
      <c r="X621" s="19">
        <v>4008</v>
      </c>
      <c r="Y621" s="19">
        <v>2995992</v>
      </c>
      <c r="Z621" s="52"/>
      <c r="AA621" s="52"/>
      <c r="AB621" s="19"/>
      <c r="AC621" s="19"/>
      <c r="AD621" s="19"/>
      <c r="AE621" s="19"/>
      <c r="AF621" s="19"/>
      <c r="AG621" s="19"/>
      <c r="AH621" s="19"/>
      <c r="AI621" s="14"/>
      <c r="AJ621" s="156">
        <v>19</v>
      </c>
      <c r="AK621" s="156" t="s">
        <v>271</v>
      </c>
      <c r="AL621" s="70">
        <v>85764593</v>
      </c>
      <c r="AM621" s="159">
        <v>2</v>
      </c>
    </row>
    <row r="622" spans="1:39" s="27" customFormat="1" ht="33">
      <c r="A622" s="72" t="s">
        <v>666</v>
      </c>
      <c r="B622" s="72"/>
      <c r="C622" s="72"/>
      <c r="D622" s="72" t="s">
        <v>1221</v>
      </c>
      <c r="E622" s="120" t="s">
        <v>905</v>
      </c>
      <c r="F622" s="120"/>
      <c r="G622" s="163" t="s">
        <v>1010</v>
      </c>
      <c r="H622" s="163" t="s">
        <v>1008</v>
      </c>
      <c r="I622" s="163" t="s">
        <v>1009</v>
      </c>
      <c r="J622" s="125" t="s">
        <v>1007</v>
      </c>
      <c r="K622" s="157" t="s">
        <v>466</v>
      </c>
      <c r="L622" s="179">
        <f t="shared" si="89"/>
        <v>43263000</v>
      </c>
      <c r="M622" s="323">
        <v>43263000</v>
      </c>
      <c r="N622" s="310"/>
      <c r="O622" s="302"/>
      <c r="P622" s="302"/>
      <c r="Q622" s="302"/>
      <c r="R622" s="67"/>
      <c r="S622" s="67"/>
      <c r="T622" s="67"/>
      <c r="U622" s="67">
        <v>1700000</v>
      </c>
      <c r="V622" s="9" t="s">
        <v>276</v>
      </c>
      <c r="W622" s="19"/>
      <c r="X622" s="19">
        <v>822482.8</v>
      </c>
      <c r="Y622" s="19">
        <v>877517.2</v>
      </c>
      <c r="Z622" s="52"/>
      <c r="AA622" s="52"/>
      <c r="AB622" s="19"/>
      <c r="AC622" s="19"/>
      <c r="AD622" s="19"/>
      <c r="AE622" s="19"/>
      <c r="AF622" s="19"/>
      <c r="AG622" s="19"/>
      <c r="AH622" s="19"/>
      <c r="AI622" s="14"/>
      <c r="AJ622" s="156">
        <v>96</v>
      </c>
      <c r="AK622" s="156" t="s">
        <v>347</v>
      </c>
      <c r="AL622" s="70">
        <v>89663654</v>
      </c>
      <c r="AM622" s="159">
        <v>45</v>
      </c>
    </row>
    <row r="623" spans="1:39" s="27" customFormat="1" ht="33">
      <c r="A623" s="72" t="s">
        <v>666</v>
      </c>
      <c r="B623" s="72"/>
      <c r="C623" s="72"/>
      <c r="D623" s="72" t="s">
        <v>1222</v>
      </c>
      <c r="E623" s="120" t="s">
        <v>904</v>
      </c>
      <c r="F623" s="120"/>
      <c r="G623" s="163" t="s">
        <v>1010</v>
      </c>
      <c r="H623" s="163" t="s">
        <v>1008</v>
      </c>
      <c r="I623" s="163" t="s">
        <v>1009</v>
      </c>
      <c r="J623" s="125" t="s">
        <v>1007</v>
      </c>
      <c r="K623" s="157" t="s">
        <v>467</v>
      </c>
      <c r="L623" s="179">
        <f t="shared" si="89"/>
        <v>1000000</v>
      </c>
      <c r="M623" s="323">
        <v>1000000</v>
      </c>
      <c r="N623" s="310"/>
      <c r="O623" s="301"/>
      <c r="P623" s="301"/>
      <c r="Q623" s="301"/>
      <c r="R623" s="67"/>
      <c r="S623" s="67"/>
      <c r="T623" s="67"/>
      <c r="U623" s="67">
        <v>1300000</v>
      </c>
      <c r="V623" s="9" t="s">
        <v>276</v>
      </c>
      <c r="W623" s="19"/>
      <c r="X623" s="19">
        <v>668040.51</v>
      </c>
      <c r="Y623" s="19">
        <v>631959.49</v>
      </c>
      <c r="Z623" s="52"/>
      <c r="AA623" s="52"/>
      <c r="AB623" s="19"/>
      <c r="AC623" s="19"/>
      <c r="AD623" s="19"/>
      <c r="AE623" s="19"/>
      <c r="AF623" s="19"/>
      <c r="AG623" s="19"/>
      <c r="AH623" s="19"/>
      <c r="AI623" s="14"/>
      <c r="AJ623" s="156">
        <v>100</v>
      </c>
      <c r="AK623" s="156" t="s">
        <v>952</v>
      </c>
      <c r="AL623" s="70">
        <v>1000000</v>
      </c>
      <c r="AM623" s="159"/>
    </row>
    <row r="624" spans="1:39" s="27" customFormat="1" ht="33">
      <c r="A624" s="72" t="s">
        <v>666</v>
      </c>
      <c r="B624" s="72"/>
      <c r="C624" s="72"/>
      <c r="D624" s="72" t="s">
        <v>1030</v>
      </c>
      <c r="E624" s="120" t="s">
        <v>902</v>
      </c>
      <c r="F624" s="120"/>
      <c r="G624" s="163" t="s">
        <v>1010</v>
      </c>
      <c r="H624" s="163" t="s">
        <v>1008</v>
      </c>
      <c r="I624" s="163" t="s">
        <v>1009</v>
      </c>
      <c r="J624" s="125" t="s">
        <v>1007</v>
      </c>
      <c r="K624" s="157" t="s">
        <v>468</v>
      </c>
      <c r="L624" s="179">
        <f t="shared" si="89"/>
        <v>500000</v>
      </c>
      <c r="M624" s="323">
        <v>500000</v>
      </c>
      <c r="N624" s="310"/>
      <c r="O624" s="301"/>
      <c r="P624" s="301"/>
      <c r="Q624" s="301"/>
      <c r="R624" s="67"/>
      <c r="S624" s="43" t="e">
        <f>#REF!-U624</f>
        <v>#REF!</v>
      </c>
      <c r="T624" s="67"/>
      <c r="U624" s="67">
        <v>2000000</v>
      </c>
      <c r="V624" s="9">
        <v>3</v>
      </c>
      <c r="W624" s="19"/>
      <c r="X624" s="19"/>
      <c r="Y624" s="19"/>
      <c r="Z624" s="52"/>
      <c r="AA624" s="52"/>
      <c r="AB624" s="19">
        <v>2000000</v>
      </c>
      <c r="AC624" s="19"/>
      <c r="AD624" s="19"/>
      <c r="AE624" s="19"/>
      <c r="AF624" s="19"/>
      <c r="AG624" s="19"/>
      <c r="AH624" s="19"/>
      <c r="AI624" s="14"/>
      <c r="AJ624" s="156">
        <v>1</v>
      </c>
      <c r="AK624" s="156" t="s">
        <v>952</v>
      </c>
      <c r="AL624" s="70">
        <v>114384791</v>
      </c>
      <c r="AM624" s="159"/>
    </row>
    <row r="625" spans="1:39" s="27" customFormat="1" ht="33">
      <c r="A625" s="72" t="s">
        <v>666</v>
      </c>
      <c r="B625" s="72"/>
      <c r="C625" s="72"/>
      <c r="D625" s="72" t="s">
        <v>1030</v>
      </c>
      <c r="E625" s="120" t="s">
        <v>902</v>
      </c>
      <c r="F625" s="120"/>
      <c r="G625" s="163" t="s">
        <v>1010</v>
      </c>
      <c r="H625" s="163" t="s">
        <v>1008</v>
      </c>
      <c r="I625" s="163" t="s">
        <v>1009</v>
      </c>
      <c r="J625" s="125" t="s">
        <v>1007</v>
      </c>
      <c r="K625" s="157" t="s">
        <v>469</v>
      </c>
      <c r="L625" s="179">
        <f t="shared" si="89"/>
        <v>1000000</v>
      </c>
      <c r="M625" s="323">
        <v>1000000</v>
      </c>
      <c r="N625" s="310"/>
      <c r="O625" s="301"/>
      <c r="P625" s="301"/>
      <c r="Q625" s="301"/>
      <c r="R625" s="67"/>
      <c r="S625" s="43" t="e">
        <f>#REF!-U625</f>
        <v>#REF!</v>
      </c>
      <c r="T625" s="67"/>
      <c r="U625" s="67">
        <v>1327000</v>
      </c>
      <c r="V625" s="9" t="s">
        <v>276</v>
      </c>
      <c r="W625" s="19"/>
      <c r="X625" s="19">
        <v>237234.42</v>
      </c>
      <c r="Y625" s="19">
        <v>1089765.58</v>
      </c>
      <c r="Z625" s="52"/>
      <c r="AA625" s="52"/>
      <c r="AB625" s="19"/>
      <c r="AC625" s="19"/>
      <c r="AD625" s="19"/>
      <c r="AE625" s="19"/>
      <c r="AF625" s="19"/>
      <c r="AG625" s="19"/>
      <c r="AH625" s="19"/>
      <c r="AI625" s="14"/>
      <c r="AJ625" s="156">
        <v>100</v>
      </c>
      <c r="AK625" s="156" t="s">
        <v>952</v>
      </c>
      <c r="AL625" s="70">
        <v>1000000</v>
      </c>
      <c r="AM625" s="159"/>
    </row>
    <row r="626" spans="1:39" s="27" customFormat="1" ht="33">
      <c r="A626" s="72" t="s">
        <v>666</v>
      </c>
      <c r="B626" s="72"/>
      <c r="C626" s="72"/>
      <c r="D626" s="72" t="s">
        <v>1222</v>
      </c>
      <c r="E626" s="120" t="s">
        <v>904</v>
      </c>
      <c r="F626" s="120"/>
      <c r="G626" s="163" t="s">
        <v>1010</v>
      </c>
      <c r="H626" s="163" t="s">
        <v>1008</v>
      </c>
      <c r="I626" s="163" t="s">
        <v>1009</v>
      </c>
      <c r="J626" s="125" t="s">
        <v>1007</v>
      </c>
      <c r="K626" s="157" t="s">
        <v>852</v>
      </c>
      <c r="L626" s="179">
        <f t="shared" si="89"/>
        <v>1835700</v>
      </c>
      <c r="M626" s="323">
        <v>1835700</v>
      </c>
      <c r="N626" s="310"/>
      <c r="O626" s="301"/>
      <c r="P626" s="301"/>
      <c r="Q626" s="301"/>
      <c r="R626" s="67"/>
      <c r="S626" s="43" t="e">
        <f>#REF!-U626</f>
        <v>#REF!</v>
      </c>
      <c r="T626" s="67"/>
      <c r="U626" s="67">
        <v>800000</v>
      </c>
      <c r="V626" s="9" t="s">
        <v>276</v>
      </c>
      <c r="W626" s="19"/>
      <c r="X626" s="19">
        <v>100984</v>
      </c>
      <c r="Y626" s="19">
        <v>699016</v>
      </c>
      <c r="Z626" s="52"/>
      <c r="AA626" s="52"/>
      <c r="AB626" s="19"/>
      <c r="AC626" s="19"/>
      <c r="AD626" s="19"/>
      <c r="AE626" s="19"/>
      <c r="AF626" s="19"/>
      <c r="AG626" s="19"/>
      <c r="AH626" s="19"/>
      <c r="AI626" s="14"/>
      <c r="AJ626" s="156">
        <v>81</v>
      </c>
      <c r="AK626" s="156" t="s">
        <v>347</v>
      </c>
      <c r="AL626" s="70">
        <v>32582549</v>
      </c>
      <c r="AM626" s="159">
        <v>75</v>
      </c>
    </row>
    <row r="627" spans="1:39" s="51" customFormat="1" ht="99">
      <c r="A627" s="72" t="s">
        <v>666</v>
      </c>
      <c r="B627" s="72"/>
      <c r="C627" s="72"/>
      <c r="D627" s="72" t="s">
        <v>1221</v>
      </c>
      <c r="E627" s="120" t="s">
        <v>905</v>
      </c>
      <c r="F627" s="120"/>
      <c r="G627" s="163" t="s">
        <v>1010</v>
      </c>
      <c r="H627" s="163" t="s">
        <v>1008</v>
      </c>
      <c r="I627" s="163" t="s">
        <v>1009</v>
      </c>
      <c r="J627" s="125" t="s">
        <v>1007</v>
      </c>
      <c r="K627" s="157" t="s">
        <v>1154</v>
      </c>
      <c r="L627" s="179">
        <f t="shared" si="89"/>
        <v>5380328.6200000001</v>
      </c>
      <c r="M627" s="323">
        <v>5380328.6200000001</v>
      </c>
      <c r="N627" s="310"/>
      <c r="O627" s="301"/>
      <c r="P627" s="301"/>
      <c r="Q627" s="301"/>
      <c r="R627" s="67"/>
      <c r="S627" s="43" t="e">
        <f>#REF!-U627</f>
        <v>#REF!</v>
      </c>
      <c r="T627" s="67"/>
      <c r="U627" s="67">
        <v>1000000</v>
      </c>
      <c r="V627" s="55"/>
      <c r="W627" s="52"/>
      <c r="X627" s="52"/>
      <c r="Y627" s="52"/>
      <c r="Z627" s="52"/>
      <c r="AA627" s="52"/>
      <c r="AB627" s="52"/>
      <c r="AC627" s="52"/>
      <c r="AD627" s="52"/>
      <c r="AE627" s="52"/>
      <c r="AF627" s="52">
        <v>1000000</v>
      </c>
      <c r="AG627" s="52"/>
      <c r="AH627" s="52"/>
      <c r="AI627" s="14"/>
      <c r="AJ627" s="159">
        <v>71</v>
      </c>
      <c r="AK627" s="156" t="s">
        <v>347</v>
      </c>
      <c r="AL627" s="70">
        <v>38709121</v>
      </c>
      <c r="AM627" s="159">
        <v>57</v>
      </c>
    </row>
    <row r="628" spans="1:39" s="66" customFormat="1" ht="33">
      <c r="A628" s="72" t="s">
        <v>666</v>
      </c>
      <c r="B628" s="72"/>
      <c r="C628" s="72"/>
      <c r="D628" s="72" t="s">
        <v>1220</v>
      </c>
      <c r="E628" s="120" t="s">
        <v>906</v>
      </c>
      <c r="F628" s="120"/>
      <c r="G628" s="163" t="s">
        <v>1010</v>
      </c>
      <c r="H628" s="163" t="s">
        <v>1008</v>
      </c>
      <c r="I628" s="163" t="s">
        <v>1009</v>
      </c>
      <c r="J628" s="125" t="s">
        <v>1007</v>
      </c>
      <c r="K628" s="157" t="s">
        <v>1034</v>
      </c>
      <c r="L628" s="179">
        <f t="shared" si="89"/>
        <v>500000</v>
      </c>
      <c r="M628" s="323">
        <v>500000</v>
      </c>
      <c r="N628" s="310"/>
      <c r="O628" s="301"/>
      <c r="P628" s="301"/>
      <c r="Q628" s="301"/>
      <c r="R628" s="67"/>
      <c r="S628" s="43"/>
      <c r="T628" s="67"/>
      <c r="U628" s="67"/>
      <c r="V628" s="69"/>
      <c r="W628" s="67"/>
      <c r="X628" s="67"/>
      <c r="Y628" s="67"/>
      <c r="Z628" s="67"/>
      <c r="AA628" s="67"/>
      <c r="AB628" s="67"/>
      <c r="AC628" s="67"/>
      <c r="AD628" s="67"/>
      <c r="AE628" s="67"/>
      <c r="AF628" s="67"/>
      <c r="AG628" s="67"/>
      <c r="AH628" s="67"/>
      <c r="AI628" s="71"/>
      <c r="AJ628" s="159">
        <v>50.200803212851405</v>
      </c>
      <c r="AK628" s="156">
        <v>2021</v>
      </c>
      <c r="AL628" s="70">
        <v>996000</v>
      </c>
      <c r="AM628" s="159"/>
    </row>
    <row r="629" spans="1:39" s="66" customFormat="1" ht="49.5">
      <c r="A629" s="72" t="s">
        <v>666</v>
      </c>
      <c r="B629" s="72"/>
      <c r="C629" s="72"/>
      <c r="D629" s="72" t="s">
        <v>1221</v>
      </c>
      <c r="E629" s="120" t="s">
        <v>905</v>
      </c>
      <c r="F629" s="120"/>
      <c r="G629" s="163" t="s">
        <v>1010</v>
      </c>
      <c r="H629" s="163" t="s">
        <v>1008</v>
      </c>
      <c r="I629" s="163" t="s">
        <v>1009</v>
      </c>
      <c r="J629" s="125" t="s">
        <v>1007</v>
      </c>
      <c r="K629" s="157" t="s">
        <v>1031</v>
      </c>
      <c r="L629" s="179">
        <f t="shared" ref="L629:L647" si="90">SUM(M629:Q629)</f>
        <v>800000</v>
      </c>
      <c r="M629" s="323">
        <v>800000</v>
      </c>
      <c r="N629" s="310"/>
      <c r="O629" s="301"/>
      <c r="P629" s="301"/>
      <c r="Q629" s="301"/>
      <c r="R629" s="67"/>
      <c r="S629" s="43"/>
      <c r="T629" s="67"/>
      <c r="U629" s="67"/>
      <c r="V629" s="69"/>
      <c r="W629" s="67"/>
      <c r="X629" s="67"/>
      <c r="Y629" s="67"/>
      <c r="Z629" s="67"/>
      <c r="AA629" s="67"/>
      <c r="AB629" s="67"/>
      <c r="AC629" s="67"/>
      <c r="AD629" s="67"/>
      <c r="AE629" s="67"/>
      <c r="AF629" s="67"/>
      <c r="AG629" s="67"/>
      <c r="AH629" s="67"/>
      <c r="AI629" s="71"/>
      <c r="AJ629" s="159">
        <v>53.547523427041497</v>
      </c>
      <c r="AK629" s="156">
        <v>2021</v>
      </c>
      <c r="AL629" s="70">
        <v>1494000</v>
      </c>
      <c r="AM629" s="159"/>
    </row>
    <row r="630" spans="1:39" s="66" customFormat="1" ht="33">
      <c r="A630" s="72" t="s">
        <v>666</v>
      </c>
      <c r="B630" s="72"/>
      <c r="C630" s="72"/>
      <c r="D630" s="72"/>
      <c r="E630" s="120" t="s">
        <v>1231</v>
      </c>
      <c r="F630" s="120"/>
      <c r="G630" s="163" t="s">
        <v>1010</v>
      </c>
      <c r="H630" s="163" t="s">
        <v>1008</v>
      </c>
      <c r="I630" s="163" t="s">
        <v>1009</v>
      </c>
      <c r="J630" s="125" t="s">
        <v>1007</v>
      </c>
      <c r="K630" s="157" t="s">
        <v>1155</v>
      </c>
      <c r="L630" s="179">
        <f t="shared" si="90"/>
        <v>800000</v>
      </c>
      <c r="M630" s="323">
        <v>800000</v>
      </c>
      <c r="N630" s="310"/>
      <c r="O630" s="301"/>
      <c r="P630" s="301"/>
      <c r="Q630" s="301"/>
      <c r="R630" s="67"/>
      <c r="S630" s="43"/>
      <c r="T630" s="67"/>
      <c r="U630" s="67"/>
      <c r="V630" s="69"/>
      <c r="W630" s="67"/>
      <c r="X630" s="67"/>
      <c r="Y630" s="67"/>
      <c r="Z630" s="67"/>
      <c r="AA630" s="67"/>
      <c r="AB630" s="67"/>
      <c r="AC630" s="67"/>
      <c r="AD630" s="67"/>
      <c r="AE630" s="67"/>
      <c r="AF630" s="67"/>
      <c r="AG630" s="67"/>
      <c r="AH630" s="67"/>
      <c r="AI630" s="71"/>
      <c r="AJ630" s="159">
        <v>53.547523427041497</v>
      </c>
      <c r="AK630" s="156">
        <v>2021</v>
      </c>
      <c r="AL630" s="70">
        <v>1494000</v>
      </c>
      <c r="AM630" s="159"/>
    </row>
    <row r="631" spans="1:39" s="66" customFormat="1" ht="33">
      <c r="A631" s="72" t="s">
        <v>666</v>
      </c>
      <c r="B631" s="72"/>
      <c r="C631" s="72"/>
      <c r="D631" s="72" t="s">
        <v>1220</v>
      </c>
      <c r="E631" s="120" t="s">
        <v>906</v>
      </c>
      <c r="F631" s="120"/>
      <c r="G631" s="163" t="s">
        <v>1010</v>
      </c>
      <c r="H631" s="163" t="s">
        <v>1008</v>
      </c>
      <c r="I631" s="163" t="s">
        <v>1009</v>
      </c>
      <c r="J631" s="125" t="s">
        <v>1007</v>
      </c>
      <c r="K631" s="157" t="s">
        <v>1035</v>
      </c>
      <c r="L631" s="179">
        <f t="shared" si="90"/>
        <v>800000</v>
      </c>
      <c r="M631" s="323">
        <v>800000</v>
      </c>
      <c r="N631" s="310"/>
      <c r="O631" s="301"/>
      <c r="P631" s="301"/>
      <c r="Q631" s="301"/>
      <c r="R631" s="67"/>
      <c r="S631" s="43"/>
      <c r="T631" s="67"/>
      <c r="U631" s="67"/>
      <c r="V631" s="69"/>
      <c r="W631" s="67"/>
      <c r="X631" s="67"/>
      <c r="Y631" s="67"/>
      <c r="Z631" s="67"/>
      <c r="AA631" s="67"/>
      <c r="AB631" s="67"/>
      <c r="AC631" s="67"/>
      <c r="AD631" s="67"/>
      <c r="AE631" s="67"/>
      <c r="AF631" s="67"/>
      <c r="AG631" s="67"/>
      <c r="AH631" s="67"/>
      <c r="AI631" s="71"/>
      <c r="AJ631" s="159">
        <v>53.547523427041497</v>
      </c>
      <c r="AK631" s="156">
        <v>2021</v>
      </c>
      <c r="AL631" s="70">
        <v>1494000</v>
      </c>
      <c r="AM631" s="159"/>
    </row>
    <row r="632" spans="1:39" s="66" customFormat="1" ht="33">
      <c r="A632" s="72" t="s">
        <v>666</v>
      </c>
      <c r="B632" s="72"/>
      <c r="C632" s="72"/>
      <c r="D632" s="72" t="s">
        <v>1224</v>
      </c>
      <c r="E632" s="120" t="s">
        <v>1232</v>
      </c>
      <c r="F632" s="120"/>
      <c r="G632" s="163" t="s">
        <v>1010</v>
      </c>
      <c r="H632" s="163" t="s">
        <v>1008</v>
      </c>
      <c r="I632" s="163" t="s">
        <v>1009</v>
      </c>
      <c r="J632" s="125" t="s">
        <v>1007</v>
      </c>
      <c r="K632" s="157" t="s">
        <v>1032</v>
      </c>
      <c r="L632" s="179">
        <f t="shared" si="90"/>
        <v>1498590.17</v>
      </c>
      <c r="M632" s="323">
        <v>1498590.17</v>
      </c>
      <c r="N632" s="310"/>
      <c r="O632" s="301"/>
      <c r="P632" s="301"/>
      <c r="Q632" s="301"/>
      <c r="R632" s="67"/>
      <c r="S632" s="43"/>
      <c r="T632" s="67"/>
      <c r="U632" s="67"/>
      <c r="V632" s="69"/>
      <c r="W632" s="67"/>
      <c r="X632" s="67"/>
      <c r="Y632" s="67"/>
      <c r="Z632" s="67"/>
      <c r="AA632" s="67"/>
      <c r="AB632" s="67"/>
      <c r="AC632" s="67"/>
      <c r="AD632" s="67"/>
      <c r="AE632" s="67"/>
      <c r="AF632" s="67"/>
      <c r="AG632" s="67"/>
      <c r="AH632" s="67"/>
      <c r="AI632" s="71"/>
      <c r="AJ632" s="159">
        <v>100</v>
      </c>
      <c r="AK632" s="156">
        <v>2021</v>
      </c>
      <c r="AL632" s="70">
        <v>1498590.17</v>
      </c>
      <c r="AM632" s="159"/>
    </row>
    <row r="633" spans="1:39" s="66" customFormat="1" ht="33">
      <c r="A633" s="72" t="s">
        <v>666</v>
      </c>
      <c r="B633" s="72"/>
      <c r="C633" s="72"/>
      <c r="D633" s="72" t="s">
        <v>1222</v>
      </c>
      <c r="E633" s="120" t="s">
        <v>904</v>
      </c>
      <c r="F633" s="120"/>
      <c r="G633" s="163" t="s">
        <v>1010</v>
      </c>
      <c r="H633" s="163" t="s">
        <v>1008</v>
      </c>
      <c r="I633" s="163" t="s">
        <v>1009</v>
      </c>
      <c r="J633" s="125" t="s">
        <v>1007</v>
      </c>
      <c r="K633" s="157" t="s">
        <v>1033</v>
      </c>
      <c r="L633" s="179">
        <f t="shared" si="90"/>
        <v>221081.21000000002</v>
      </c>
      <c r="M633" s="323">
        <v>221081.21000000002</v>
      </c>
      <c r="N633" s="310"/>
      <c r="O633" s="301"/>
      <c r="P633" s="301"/>
      <c r="Q633" s="301"/>
      <c r="R633" s="67"/>
      <c r="S633" s="43"/>
      <c r="T633" s="67"/>
      <c r="U633" s="67"/>
      <c r="V633" s="69"/>
      <c r="W633" s="67"/>
      <c r="X633" s="67"/>
      <c r="Y633" s="67"/>
      <c r="Z633" s="67"/>
      <c r="AA633" s="67"/>
      <c r="AB633" s="67"/>
      <c r="AC633" s="67"/>
      <c r="AD633" s="67"/>
      <c r="AE633" s="67"/>
      <c r="AF633" s="67"/>
      <c r="AG633" s="67"/>
      <c r="AH633" s="67"/>
      <c r="AI633" s="71"/>
      <c r="AJ633" s="159">
        <v>100</v>
      </c>
      <c r="AK633" s="156">
        <v>2021</v>
      </c>
      <c r="AL633" s="70">
        <v>385307.89</v>
      </c>
      <c r="AM633" s="159">
        <v>42.622194941297458</v>
      </c>
    </row>
    <row r="634" spans="1:39" s="66" customFormat="1">
      <c r="A634" s="72" t="s">
        <v>666</v>
      </c>
      <c r="B634" s="72"/>
      <c r="C634" s="72"/>
      <c r="D634" s="72"/>
      <c r="E634" s="120" t="s">
        <v>1469</v>
      </c>
      <c r="F634" s="120"/>
      <c r="G634" s="154">
        <v>1217670</v>
      </c>
      <c r="H634" s="154">
        <v>7670</v>
      </c>
      <c r="I634" s="154" t="s">
        <v>31</v>
      </c>
      <c r="J634" s="125" t="s">
        <v>258</v>
      </c>
      <c r="K634" s="157" t="s">
        <v>480</v>
      </c>
      <c r="L634" s="179">
        <f t="shared" si="90"/>
        <v>1500000</v>
      </c>
      <c r="M634" s="323">
        <v>1500000</v>
      </c>
      <c r="N634" s="310"/>
      <c r="O634" s="301"/>
      <c r="P634" s="301"/>
      <c r="Q634" s="301"/>
      <c r="R634" s="67"/>
      <c r="S634" s="43"/>
      <c r="T634" s="67"/>
      <c r="U634" s="67"/>
      <c r="V634" s="69"/>
      <c r="W634" s="67"/>
      <c r="X634" s="67"/>
      <c r="Y634" s="67"/>
      <c r="Z634" s="67"/>
      <c r="AA634" s="67"/>
      <c r="AB634" s="67"/>
      <c r="AC634" s="67"/>
      <c r="AD634" s="67"/>
      <c r="AE634" s="67"/>
      <c r="AF634" s="67"/>
      <c r="AG634" s="67"/>
      <c r="AH634" s="67"/>
      <c r="AI634" s="71"/>
      <c r="AJ634" s="156">
        <v>100</v>
      </c>
      <c r="AK634" s="156">
        <v>2021</v>
      </c>
      <c r="AL634" s="70"/>
      <c r="AM634" s="159"/>
    </row>
    <row r="635" spans="1:39" s="66" customFormat="1" ht="96" customHeight="1">
      <c r="A635" s="72" t="s">
        <v>666</v>
      </c>
      <c r="B635" s="72"/>
      <c r="C635" s="72"/>
      <c r="D635" s="72"/>
      <c r="E635" s="120"/>
      <c r="F635" s="120"/>
      <c r="G635" s="154" t="s">
        <v>1390</v>
      </c>
      <c r="H635" s="154">
        <v>9770</v>
      </c>
      <c r="I635" s="154" t="s">
        <v>25</v>
      </c>
      <c r="J635" s="125" t="s">
        <v>264</v>
      </c>
      <c r="K635" s="157" t="s">
        <v>1391</v>
      </c>
      <c r="L635" s="179">
        <f t="shared" si="90"/>
        <v>11500000</v>
      </c>
      <c r="M635" s="323">
        <v>11500000</v>
      </c>
      <c r="N635" s="324"/>
      <c r="O635" s="294"/>
      <c r="P635" s="294"/>
      <c r="Q635" s="294"/>
      <c r="R635" s="67"/>
      <c r="S635" s="43"/>
      <c r="T635" s="67"/>
      <c r="U635" s="67"/>
      <c r="V635" s="69"/>
      <c r="W635" s="67"/>
      <c r="X635" s="67"/>
      <c r="Y635" s="67"/>
      <c r="Z635" s="67"/>
      <c r="AA635" s="67"/>
      <c r="AB635" s="67"/>
      <c r="AC635" s="67"/>
      <c r="AD635" s="67"/>
      <c r="AE635" s="67"/>
      <c r="AF635" s="67"/>
      <c r="AG635" s="67"/>
      <c r="AH635" s="67"/>
      <c r="AI635" s="71"/>
      <c r="AJ635" s="156"/>
      <c r="AK635" s="156">
        <v>2021</v>
      </c>
      <c r="AL635" s="70"/>
      <c r="AM635" s="159"/>
    </row>
    <row r="636" spans="1:39" s="27" customFormat="1">
      <c r="A636" s="34" t="s">
        <v>666</v>
      </c>
      <c r="B636" s="34"/>
      <c r="C636" s="72"/>
      <c r="D636" s="72"/>
      <c r="E636" s="120" t="s">
        <v>1469</v>
      </c>
      <c r="F636" s="120"/>
      <c r="G636" s="80">
        <v>1217670</v>
      </c>
      <c r="H636" s="80">
        <v>7670</v>
      </c>
      <c r="I636" s="80" t="s">
        <v>31</v>
      </c>
      <c r="J636" s="81" t="s">
        <v>258</v>
      </c>
      <c r="K636" s="86" t="s">
        <v>479</v>
      </c>
      <c r="L636" s="293">
        <f t="shared" si="90"/>
        <v>13700000</v>
      </c>
      <c r="M636" s="294"/>
      <c r="N636" s="294">
        <f>2000000+11700000</f>
        <v>13700000</v>
      </c>
      <c r="O636" s="304"/>
      <c r="P636" s="304"/>
      <c r="Q636" s="304"/>
      <c r="R636" s="78"/>
      <c r="S636" s="43">
        <f>N636-U636</f>
        <v>0</v>
      </c>
      <c r="T636" s="41"/>
      <c r="U636" s="41">
        <f>2000000+11700000</f>
        <v>13700000</v>
      </c>
      <c r="V636" s="9">
        <v>3</v>
      </c>
      <c r="W636" s="19"/>
      <c r="X636" s="19"/>
      <c r="Y636" s="19"/>
      <c r="Z636" s="52">
        <v>11700000</v>
      </c>
      <c r="AA636" s="52"/>
      <c r="AB636" s="19">
        <v>2000000</v>
      </c>
      <c r="AC636" s="19"/>
      <c r="AD636" s="19"/>
      <c r="AE636" s="19"/>
      <c r="AF636" s="19">
        <v>13700000</v>
      </c>
      <c r="AG636" s="19"/>
      <c r="AH636" s="19"/>
      <c r="AI636" s="14"/>
      <c r="AJ636" s="78">
        <v>100</v>
      </c>
      <c r="AK636" s="78">
        <v>2021</v>
      </c>
      <c r="AL636" s="85"/>
      <c r="AM636" s="84"/>
    </row>
    <row r="637" spans="1:39" s="27" customFormat="1" ht="33">
      <c r="A637" s="34" t="s">
        <v>666</v>
      </c>
      <c r="B637" s="34"/>
      <c r="C637" s="72"/>
      <c r="D637" s="72"/>
      <c r="E637" s="120" t="s">
        <v>1469</v>
      </c>
      <c r="F637" s="120"/>
      <c r="G637" s="80" t="s">
        <v>68</v>
      </c>
      <c r="H637" s="80" t="s">
        <v>30</v>
      </c>
      <c r="I637" s="80" t="s">
        <v>31</v>
      </c>
      <c r="J637" s="81" t="s">
        <v>32</v>
      </c>
      <c r="K637" s="86" t="s">
        <v>69</v>
      </c>
      <c r="L637" s="293">
        <f t="shared" si="90"/>
        <v>4294938</v>
      </c>
      <c r="M637" s="294"/>
      <c r="N637" s="294">
        <v>1609738</v>
      </c>
      <c r="O637" s="304"/>
      <c r="P637" s="304"/>
      <c r="Q637" s="294">
        <v>2685200</v>
      </c>
      <c r="R637" s="41"/>
      <c r="S637" s="43">
        <f>N637-U637</f>
        <v>-6204262</v>
      </c>
      <c r="T637" s="67">
        <v>1609738</v>
      </c>
      <c r="U637" s="67">
        <v>7814000</v>
      </c>
      <c r="V637" s="9">
        <v>3</v>
      </c>
      <c r="W637" s="19"/>
      <c r="X637" s="19"/>
      <c r="Y637" s="19"/>
      <c r="Z637" s="52"/>
      <c r="AA637" s="52"/>
      <c r="AB637" s="19">
        <v>7814000</v>
      </c>
      <c r="AC637" s="19"/>
      <c r="AD637" s="19"/>
      <c r="AE637" s="19"/>
      <c r="AF637" s="19"/>
      <c r="AG637" s="19"/>
      <c r="AH637" s="19">
        <v>7814800</v>
      </c>
      <c r="AI637" s="14"/>
      <c r="AJ637" s="78">
        <v>100</v>
      </c>
      <c r="AK637" s="78">
        <v>2021</v>
      </c>
      <c r="AL637" s="85"/>
      <c r="AM637" s="84"/>
    </row>
    <row r="638" spans="1:39" s="66" customFormat="1">
      <c r="A638" s="72" t="s">
        <v>1343</v>
      </c>
      <c r="B638" s="72"/>
      <c r="C638" s="72"/>
      <c r="D638" s="72"/>
      <c r="E638" s="120"/>
      <c r="F638" s="120" t="s">
        <v>1461</v>
      </c>
      <c r="G638" s="80"/>
      <c r="H638" s="80"/>
      <c r="I638" s="80"/>
      <c r="J638" s="81"/>
      <c r="K638" s="146" t="s">
        <v>1455</v>
      </c>
      <c r="L638" s="303">
        <f t="shared" si="90"/>
        <v>4294938</v>
      </c>
      <c r="M638" s="305"/>
      <c r="N638" s="305">
        <v>1609738</v>
      </c>
      <c r="O638" s="304"/>
      <c r="P638" s="304"/>
      <c r="Q638" s="305">
        <v>2685200</v>
      </c>
      <c r="R638" s="152"/>
      <c r="S638" s="43"/>
      <c r="T638" s="67"/>
      <c r="U638" s="67"/>
      <c r="V638" s="69"/>
      <c r="W638" s="67"/>
      <c r="X638" s="67"/>
      <c r="Y638" s="67"/>
      <c r="Z638" s="67"/>
      <c r="AA638" s="67"/>
      <c r="AB638" s="67"/>
      <c r="AC638" s="67"/>
      <c r="AD638" s="67"/>
      <c r="AE638" s="67"/>
      <c r="AF638" s="67"/>
      <c r="AG638" s="67"/>
      <c r="AH638" s="67"/>
      <c r="AI638" s="71"/>
      <c r="AJ638" s="78"/>
      <c r="AK638" s="78"/>
      <c r="AL638" s="85"/>
      <c r="AM638" s="84"/>
    </row>
    <row r="639" spans="1:39" s="27" customFormat="1">
      <c r="A639" s="34" t="s">
        <v>666</v>
      </c>
      <c r="B639" s="34"/>
      <c r="C639" s="72"/>
      <c r="D639" s="72"/>
      <c r="E639" s="120" t="s">
        <v>1469</v>
      </c>
      <c r="F639" s="120"/>
      <c r="G639" s="93" t="s">
        <v>68</v>
      </c>
      <c r="H639" s="93" t="s">
        <v>30</v>
      </c>
      <c r="I639" s="93" t="s">
        <v>31</v>
      </c>
      <c r="J639" s="89" t="s">
        <v>32</v>
      </c>
      <c r="K639" s="82" t="s">
        <v>70</v>
      </c>
      <c r="L639" s="293">
        <f t="shared" si="90"/>
        <v>87665892</v>
      </c>
      <c r="M639" s="294"/>
      <c r="N639" s="294">
        <v>3665892</v>
      </c>
      <c r="O639" s="304"/>
      <c r="P639" s="304"/>
      <c r="Q639" s="294">
        <v>84000000</v>
      </c>
      <c r="R639" s="41"/>
      <c r="S639" s="43">
        <f>N639-U639</f>
        <v>-167834108</v>
      </c>
      <c r="T639" s="41">
        <v>3665892</v>
      </c>
      <c r="U639" s="41">
        <f>30000000+55000000+32000000+74500000-5000000-15000000</f>
        <v>171500000</v>
      </c>
      <c r="V639" s="9">
        <v>3</v>
      </c>
      <c r="W639" s="19"/>
      <c r="X639" s="19"/>
      <c r="Y639" s="19"/>
      <c r="Z639" s="52"/>
      <c r="AA639" s="52">
        <f>5000000+15000000</f>
        <v>20000000</v>
      </c>
      <c r="AB639" s="19">
        <v>191500000</v>
      </c>
      <c r="AC639" s="19"/>
      <c r="AD639" s="19">
        <v>30000000</v>
      </c>
      <c r="AE639" s="19"/>
      <c r="AF639" s="19">
        <f>74500000-15000000</f>
        <v>59500000</v>
      </c>
      <c r="AG639" s="19">
        <f>55000000-5000000</f>
        <v>50000000</v>
      </c>
      <c r="AH639" s="19">
        <v>32000000</v>
      </c>
      <c r="AI639" s="67">
        <v>79000000</v>
      </c>
      <c r="AJ639" s="78">
        <v>100</v>
      </c>
      <c r="AK639" s="78">
        <v>2021</v>
      </c>
      <c r="AL639" s="85"/>
      <c r="AM639" s="84"/>
    </row>
    <row r="640" spans="1:39" s="66" customFormat="1">
      <c r="A640" s="72" t="s">
        <v>1343</v>
      </c>
      <c r="B640" s="72"/>
      <c r="C640" s="72"/>
      <c r="D640" s="72"/>
      <c r="E640" s="120"/>
      <c r="F640" s="120" t="s">
        <v>1461</v>
      </c>
      <c r="G640" s="93"/>
      <c r="H640" s="93"/>
      <c r="I640" s="93"/>
      <c r="J640" s="89"/>
      <c r="K640" s="146" t="s">
        <v>1456</v>
      </c>
      <c r="L640" s="293">
        <f t="shared" si="90"/>
        <v>8665892</v>
      </c>
      <c r="M640" s="294"/>
      <c r="N640" s="294">
        <v>3665892</v>
      </c>
      <c r="O640" s="304"/>
      <c r="P640" s="304"/>
      <c r="Q640" s="294">
        <v>5000000</v>
      </c>
      <c r="R640" s="41"/>
      <c r="S640" s="43"/>
      <c r="T640" s="41"/>
      <c r="U640" s="41"/>
      <c r="V640" s="69"/>
      <c r="W640" s="67"/>
      <c r="X640" s="67"/>
      <c r="Y640" s="67"/>
      <c r="Z640" s="67"/>
      <c r="AA640" s="67"/>
      <c r="AB640" s="67"/>
      <c r="AC640" s="67"/>
      <c r="AD640" s="67"/>
      <c r="AE640" s="67"/>
      <c r="AF640" s="67"/>
      <c r="AG640" s="67"/>
      <c r="AH640" s="67"/>
      <c r="AI640" s="67"/>
      <c r="AJ640" s="78"/>
      <c r="AK640" s="78"/>
      <c r="AL640" s="85"/>
      <c r="AM640" s="84"/>
    </row>
    <row r="641" spans="1:39" s="66" customFormat="1">
      <c r="A641" s="72" t="s">
        <v>1343</v>
      </c>
      <c r="B641" s="72"/>
      <c r="C641" s="72"/>
      <c r="D641" s="72"/>
      <c r="E641" s="120"/>
      <c r="F641" s="120"/>
      <c r="G641" s="93"/>
      <c r="H641" s="93"/>
      <c r="I641" s="93"/>
      <c r="J641" s="89"/>
      <c r="K641" s="146" t="s">
        <v>1342</v>
      </c>
      <c r="L641" s="293">
        <f t="shared" si="90"/>
        <v>79000000</v>
      </c>
      <c r="M641" s="294"/>
      <c r="N641" s="294"/>
      <c r="O641" s="304"/>
      <c r="P641" s="304"/>
      <c r="Q641" s="294">
        <v>79000000</v>
      </c>
      <c r="R641" s="41"/>
      <c r="S641" s="43"/>
      <c r="T641" s="41"/>
      <c r="U641" s="41"/>
      <c r="V641" s="69"/>
      <c r="W641" s="67"/>
      <c r="X641" s="67"/>
      <c r="Y641" s="67"/>
      <c r="Z641" s="67"/>
      <c r="AA641" s="67"/>
      <c r="AB641" s="67"/>
      <c r="AC641" s="67"/>
      <c r="AD641" s="67"/>
      <c r="AE641" s="67"/>
      <c r="AF641" s="67"/>
      <c r="AG641" s="67"/>
      <c r="AH641" s="67"/>
      <c r="AI641" s="67"/>
      <c r="AJ641" s="78"/>
      <c r="AK641" s="78"/>
      <c r="AL641" s="85"/>
      <c r="AM641" s="84"/>
    </row>
    <row r="642" spans="1:39" s="27" customFormat="1">
      <c r="A642" s="34" t="s">
        <v>666</v>
      </c>
      <c r="B642" s="34"/>
      <c r="C642" s="72"/>
      <c r="D642" s="72"/>
      <c r="E642" s="120" t="s">
        <v>1469</v>
      </c>
      <c r="F642" s="120"/>
      <c r="G642" s="80" t="s">
        <v>68</v>
      </c>
      <c r="H642" s="80" t="s">
        <v>30</v>
      </c>
      <c r="I642" s="80" t="s">
        <v>31</v>
      </c>
      <c r="J642" s="81" t="s">
        <v>32</v>
      </c>
      <c r="K642" s="86" t="s">
        <v>71</v>
      </c>
      <c r="L642" s="293">
        <f t="shared" si="90"/>
        <v>201450380</v>
      </c>
      <c r="M642" s="294"/>
      <c r="N642" s="294">
        <v>170380</v>
      </c>
      <c r="O642" s="304"/>
      <c r="P642" s="304"/>
      <c r="Q642" s="294">
        <f>Q643+Q644</f>
        <v>201280000</v>
      </c>
      <c r="R642" s="41"/>
      <c r="S642" s="43">
        <f>N642-U642</f>
        <v>-110320620</v>
      </c>
      <c r="T642" s="41">
        <v>170380</v>
      </c>
      <c r="U642" s="41">
        <f>60000000+15000000+35000000+491000+4000000+1000000-5000000</f>
        <v>110491000</v>
      </c>
      <c r="V642" s="9">
        <v>3</v>
      </c>
      <c r="W642" s="19"/>
      <c r="X642" s="19"/>
      <c r="Y642" s="19"/>
      <c r="Z642" s="52"/>
      <c r="AA642" s="52">
        <v>5000000</v>
      </c>
      <c r="AB642" s="19">
        <v>115491000</v>
      </c>
      <c r="AC642" s="19"/>
      <c r="AD642" s="19">
        <v>60000000</v>
      </c>
      <c r="AE642" s="19">
        <v>15000000</v>
      </c>
      <c r="AF642" s="19">
        <f>1000000+4000000</f>
        <v>5000000</v>
      </c>
      <c r="AG642" s="19">
        <f>35000000-5000000</f>
        <v>30000000</v>
      </c>
      <c r="AH642" s="19">
        <v>491000</v>
      </c>
      <c r="AI642" s="52">
        <v>201100000</v>
      </c>
      <c r="AJ642" s="78">
        <v>100</v>
      </c>
      <c r="AK642" s="78">
        <v>2021</v>
      </c>
      <c r="AL642" s="85"/>
      <c r="AM642" s="84"/>
    </row>
    <row r="643" spans="1:39" s="66" customFormat="1">
      <c r="A643" s="72" t="s">
        <v>1343</v>
      </c>
      <c r="B643" s="72"/>
      <c r="C643" s="72"/>
      <c r="D643" s="72"/>
      <c r="E643" s="120"/>
      <c r="F643" s="120" t="s">
        <v>1461</v>
      </c>
      <c r="G643" s="80"/>
      <c r="H643" s="80"/>
      <c r="I643" s="80"/>
      <c r="J643" s="81"/>
      <c r="K643" s="147" t="s">
        <v>1457</v>
      </c>
      <c r="L643" s="303">
        <f t="shared" si="90"/>
        <v>350380</v>
      </c>
      <c r="M643" s="305"/>
      <c r="N643" s="305">
        <v>170380</v>
      </c>
      <c r="O643" s="304"/>
      <c r="P643" s="304"/>
      <c r="Q643" s="305">
        <v>180000</v>
      </c>
      <c r="R643" s="152"/>
      <c r="S643" s="43"/>
      <c r="T643" s="41"/>
      <c r="U643" s="41"/>
      <c r="V643" s="69"/>
      <c r="W643" s="67"/>
      <c r="X643" s="67"/>
      <c r="Y643" s="67"/>
      <c r="Z643" s="67"/>
      <c r="AA643" s="67"/>
      <c r="AB643" s="67"/>
      <c r="AC643" s="67"/>
      <c r="AD643" s="67"/>
      <c r="AE643" s="67"/>
      <c r="AF643" s="67"/>
      <c r="AG643" s="67"/>
      <c r="AH643" s="67"/>
      <c r="AI643" s="67"/>
      <c r="AJ643" s="78"/>
      <c r="AK643" s="78"/>
      <c r="AL643" s="85"/>
      <c r="AM643" s="84"/>
    </row>
    <row r="644" spans="1:39" s="66" customFormat="1">
      <c r="A644" s="72" t="s">
        <v>1343</v>
      </c>
      <c r="B644" s="72"/>
      <c r="C644" s="72"/>
      <c r="D644" s="72"/>
      <c r="E644" s="120"/>
      <c r="F644" s="120"/>
      <c r="G644" s="80"/>
      <c r="H644" s="80"/>
      <c r="I644" s="80"/>
      <c r="J644" s="81"/>
      <c r="K644" s="147" t="s">
        <v>1342</v>
      </c>
      <c r="L644" s="293">
        <f t="shared" si="90"/>
        <v>201100000</v>
      </c>
      <c r="M644" s="294"/>
      <c r="N644" s="294"/>
      <c r="O644" s="304"/>
      <c r="P644" s="304"/>
      <c r="Q644" s="305">
        <v>201100000</v>
      </c>
      <c r="R644" s="152"/>
      <c r="S644" s="43"/>
      <c r="T644" s="41"/>
      <c r="U644" s="41"/>
      <c r="V644" s="69"/>
      <c r="W644" s="67"/>
      <c r="X644" s="67"/>
      <c r="Y644" s="67"/>
      <c r="Z644" s="67"/>
      <c r="AA644" s="67"/>
      <c r="AB644" s="67"/>
      <c r="AC644" s="67"/>
      <c r="AD644" s="67"/>
      <c r="AE644" s="67"/>
      <c r="AF644" s="67"/>
      <c r="AG644" s="67"/>
      <c r="AH644" s="67"/>
      <c r="AI644" s="67"/>
      <c r="AJ644" s="78"/>
      <c r="AK644" s="78"/>
      <c r="AL644" s="85"/>
      <c r="AM644" s="84"/>
    </row>
    <row r="645" spans="1:39" s="27" customFormat="1" ht="33.75" customHeight="1">
      <c r="A645" s="34" t="s">
        <v>666</v>
      </c>
      <c r="B645" s="34"/>
      <c r="C645" s="72"/>
      <c r="D645" s="72"/>
      <c r="E645" s="120" t="s">
        <v>1469</v>
      </c>
      <c r="F645" s="120"/>
      <c r="G645" s="80" t="s">
        <v>68</v>
      </c>
      <c r="H645" s="80" t="s">
        <v>30</v>
      </c>
      <c r="I645" s="80" t="s">
        <v>31</v>
      </c>
      <c r="J645" s="81" t="s">
        <v>32</v>
      </c>
      <c r="K645" s="86" t="s">
        <v>72</v>
      </c>
      <c r="L645" s="179">
        <f t="shared" si="90"/>
        <v>73700000</v>
      </c>
      <c r="M645" s="323"/>
      <c r="N645" s="324"/>
      <c r="O645" s="294"/>
      <c r="P645" s="294"/>
      <c r="Q645" s="325">
        <f>Q646</f>
        <v>73700000</v>
      </c>
      <c r="R645" s="129"/>
      <c r="S645" s="43" t="e">
        <f>#REF!-U645</f>
        <v>#REF!</v>
      </c>
      <c r="T645" s="41"/>
      <c r="U645" s="41">
        <f>175000000+38000000-5000000-5000000-30000000-1000000</f>
        <v>172000000</v>
      </c>
      <c r="V645" s="9">
        <v>3</v>
      </c>
      <c r="W645" s="19"/>
      <c r="X645" s="19"/>
      <c r="Y645" s="19"/>
      <c r="Z645" s="52"/>
      <c r="AA645" s="52">
        <f>5000000+30000000</f>
        <v>35000000</v>
      </c>
      <c r="AB645" s="19">
        <v>213000000</v>
      </c>
      <c r="AC645" s="19"/>
      <c r="AD645" s="19"/>
      <c r="AE645" s="19"/>
      <c r="AF645" s="19">
        <f>38000000-5000000-1000000</f>
        <v>32000000</v>
      </c>
      <c r="AG645" s="19">
        <f>175000000-5000000-30000000</f>
        <v>140000000</v>
      </c>
      <c r="AH645" s="19"/>
      <c r="AI645" s="52">
        <v>73700000</v>
      </c>
      <c r="AJ645" s="78">
        <v>100</v>
      </c>
      <c r="AK645" s="78">
        <v>2021</v>
      </c>
      <c r="AL645" s="85"/>
      <c r="AM645" s="84"/>
    </row>
    <row r="646" spans="1:39" s="66" customFormat="1">
      <c r="A646" s="72" t="s">
        <v>1343</v>
      </c>
      <c r="B646" s="72"/>
      <c r="C646" s="72"/>
      <c r="D646" s="72"/>
      <c r="E646" s="120"/>
      <c r="F646" s="120"/>
      <c r="G646" s="80"/>
      <c r="H646" s="80"/>
      <c r="I646" s="80"/>
      <c r="J646" s="81"/>
      <c r="K646" s="147" t="s">
        <v>1342</v>
      </c>
      <c r="L646" s="179">
        <f t="shared" si="90"/>
        <v>73700000</v>
      </c>
      <c r="M646" s="323"/>
      <c r="N646" s="324"/>
      <c r="O646" s="294"/>
      <c r="P646" s="294"/>
      <c r="Q646" s="294">
        <v>73700000</v>
      </c>
      <c r="R646" s="41"/>
      <c r="S646" s="43"/>
      <c r="T646" s="41"/>
      <c r="U646" s="41"/>
      <c r="V646" s="69"/>
      <c r="W646" s="67"/>
      <c r="X646" s="67"/>
      <c r="Y646" s="67"/>
      <c r="Z646" s="67"/>
      <c r="AA646" s="67"/>
      <c r="AB646" s="67"/>
      <c r="AC646" s="67"/>
      <c r="AD646" s="67"/>
      <c r="AE646" s="67"/>
      <c r="AF646" s="67"/>
      <c r="AG646" s="67"/>
      <c r="AH646" s="67"/>
      <c r="AI646" s="67"/>
      <c r="AJ646" s="78"/>
      <c r="AK646" s="78"/>
      <c r="AL646" s="85"/>
      <c r="AM646" s="84"/>
    </row>
    <row r="647" spans="1:39" s="27" customFormat="1">
      <c r="A647" s="34" t="s">
        <v>666</v>
      </c>
      <c r="B647" s="34"/>
      <c r="C647" s="72"/>
      <c r="D647" s="72"/>
      <c r="E647" s="120" t="s">
        <v>1469</v>
      </c>
      <c r="F647" s="120"/>
      <c r="G647" s="80" t="s">
        <v>68</v>
      </c>
      <c r="H647" s="80" t="s">
        <v>30</v>
      </c>
      <c r="I647" s="80" t="s">
        <v>31</v>
      </c>
      <c r="J647" s="81" t="s">
        <v>32</v>
      </c>
      <c r="K647" s="86" t="s">
        <v>74</v>
      </c>
      <c r="L647" s="293">
        <f t="shared" si="90"/>
        <v>2000000</v>
      </c>
      <c r="M647" s="294"/>
      <c r="N647" s="294">
        <v>2000000</v>
      </c>
      <c r="O647" s="304"/>
      <c r="P647" s="304"/>
      <c r="Q647" s="304"/>
      <c r="R647" s="78"/>
      <c r="S647" s="43">
        <f>N647-U647</f>
        <v>-36000000</v>
      </c>
      <c r="T647" s="43"/>
      <c r="U647" s="43">
        <f>3000000+28000000+5000000+2000000</f>
        <v>38000000</v>
      </c>
      <c r="V647" s="9">
        <v>3</v>
      </c>
      <c r="W647" s="19"/>
      <c r="X647" s="19"/>
      <c r="Y647" s="19"/>
      <c r="Z647" s="52"/>
      <c r="AA647" s="52"/>
      <c r="AB647" s="19">
        <v>31000000</v>
      </c>
      <c r="AC647" s="19"/>
      <c r="AD647" s="19"/>
      <c r="AE647" s="19"/>
      <c r="AF647" s="19">
        <f>2600000+1400000+24000000+5000000</f>
        <v>33000000</v>
      </c>
      <c r="AG647" s="19">
        <v>3000000</v>
      </c>
      <c r="AH647" s="19"/>
      <c r="AI647" s="52"/>
      <c r="AJ647" s="78">
        <v>100</v>
      </c>
      <c r="AK647" s="78">
        <v>2021</v>
      </c>
      <c r="AL647" s="85"/>
      <c r="AM647" s="84"/>
    </row>
    <row r="648" spans="1:39" s="198" customFormat="1">
      <c r="A648" s="193" t="s">
        <v>884</v>
      </c>
      <c r="B648" s="193" t="s">
        <v>193</v>
      </c>
      <c r="C648" s="193"/>
      <c r="D648" s="193"/>
      <c r="E648" s="182" t="s">
        <v>1225</v>
      </c>
      <c r="F648" s="182"/>
      <c r="G648" s="203">
        <v>1400000</v>
      </c>
      <c r="H648" s="203"/>
      <c r="I648" s="203"/>
      <c r="J648" s="204" t="s">
        <v>192</v>
      </c>
      <c r="K648" s="201"/>
      <c r="L648" s="287">
        <f t="shared" ref="L648" si="91">SUM(L650:L653)</f>
        <v>18429469</v>
      </c>
      <c r="M648" s="288">
        <f>SUM(M650:M653)</f>
        <v>16195679</v>
      </c>
      <c r="N648" s="289">
        <f>SUM(N650:N653)</f>
        <v>0</v>
      </c>
      <c r="O648" s="289">
        <f t="shared" ref="O648:P648" si="92">SUM(O650:O653)</f>
        <v>0</v>
      </c>
      <c r="P648" s="289">
        <f t="shared" si="92"/>
        <v>2233790</v>
      </c>
      <c r="Q648" s="289">
        <f t="shared" ref="Q648" si="93">SUM(Q650:Q653)</f>
        <v>0</v>
      </c>
      <c r="R648" s="187">
        <f t="shared" ref="R648:R649" si="94">L648-M648-N648-O648-P648-Q648</f>
        <v>0</v>
      </c>
      <c r="S648" s="187"/>
      <c r="T648" s="187"/>
      <c r="U648" s="187">
        <f>SUM(U650:U653)</f>
        <v>22766210</v>
      </c>
      <c r="V648" s="187"/>
      <c r="W648" s="187"/>
      <c r="X648" s="187">
        <f>SUM(X653)</f>
        <v>0</v>
      </c>
      <c r="Y648" s="187">
        <f>SUM(Y653)</f>
        <v>0</v>
      </c>
      <c r="Z648" s="187"/>
      <c r="AA648" s="187"/>
      <c r="AB648" s="187">
        <f>SUM(AB653)</f>
        <v>35000000</v>
      </c>
      <c r="AC648" s="187">
        <f>X648+Y648+AB648-N648</f>
        <v>35000000</v>
      </c>
      <c r="AD648" s="187">
        <f>SUM(AD653)</f>
        <v>0</v>
      </c>
      <c r="AE648" s="187">
        <f>SUM(AE653)</f>
        <v>0</v>
      </c>
      <c r="AF648" s="187">
        <f>SUM(AF653)</f>
        <v>0</v>
      </c>
      <c r="AG648" s="187">
        <f>SUM(AG653)</f>
        <v>0</v>
      </c>
      <c r="AH648" s="187">
        <f>SUM(AH653)</f>
        <v>0</v>
      </c>
      <c r="AI648" s="199"/>
      <c r="AJ648" s="187"/>
      <c r="AK648" s="185"/>
      <c r="AL648" s="191"/>
      <c r="AM648" s="197"/>
    </row>
    <row r="649" spans="1:39" s="198" customFormat="1">
      <c r="A649" s="193" t="s">
        <v>884</v>
      </c>
      <c r="B649" s="193"/>
      <c r="C649" s="193"/>
      <c r="D649" s="193"/>
      <c r="E649" s="182" t="s">
        <v>1225</v>
      </c>
      <c r="F649" s="182"/>
      <c r="G649" s="204">
        <v>1410000</v>
      </c>
      <c r="H649" s="204"/>
      <c r="I649" s="217"/>
      <c r="J649" s="218" t="s">
        <v>192</v>
      </c>
      <c r="K649" s="201"/>
      <c r="L649" s="290"/>
      <c r="M649" s="291"/>
      <c r="N649" s="297"/>
      <c r="O649" s="297"/>
      <c r="P649" s="297"/>
      <c r="Q649" s="297"/>
      <c r="R649" s="187">
        <f t="shared" si="94"/>
        <v>0</v>
      </c>
      <c r="S649" s="199"/>
      <c r="T649" s="199"/>
      <c r="U649" s="199"/>
      <c r="V649" s="200"/>
      <c r="W649" s="199"/>
      <c r="X649" s="199"/>
      <c r="Y649" s="199"/>
      <c r="Z649" s="199"/>
      <c r="AA649" s="199"/>
      <c r="AB649" s="199"/>
      <c r="AC649" s="199"/>
      <c r="AD649" s="199"/>
      <c r="AE649" s="199"/>
      <c r="AF649" s="199"/>
      <c r="AG649" s="199"/>
      <c r="AH649" s="199"/>
      <c r="AI649" s="199"/>
      <c r="AJ649" s="199"/>
      <c r="AK649" s="185"/>
      <c r="AL649" s="191"/>
      <c r="AM649" s="197"/>
    </row>
    <row r="650" spans="1:39" s="66" customFormat="1" ht="49.5">
      <c r="A650" s="72" t="s">
        <v>884</v>
      </c>
      <c r="B650" s="72"/>
      <c r="C650" s="72"/>
      <c r="D650" s="72"/>
      <c r="E650" s="120"/>
      <c r="F650" s="120"/>
      <c r="G650" s="80" t="s">
        <v>1274</v>
      </c>
      <c r="H650" s="80" t="s">
        <v>1276</v>
      </c>
      <c r="I650" s="80" t="s">
        <v>225</v>
      </c>
      <c r="J650" s="81" t="s">
        <v>1275</v>
      </c>
      <c r="K650" s="86" t="s">
        <v>1277</v>
      </c>
      <c r="L650" s="293">
        <f>SUM(M650:Q650)</f>
        <v>342600</v>
      </c>
      <c r="M650" s="294">
        <v>342600</v>
      </c>
      <c r="N650" s="294"/>
      <c r="O650" s="294"/>
      <c r="P650" s="294"/>
      <c r="Q650" s="294"/>
      <c r="R650" s="118"/>
      <c r="S650" s="118"/>
      <c r="T650" s="118"/>
      <c r="U650" s="118">
        <v>342600</v>
      </c>
      <c r="V650" s="69"/>
      <c r="W650" s="67"/>
      <c r="X650" s="67"/>
      <c r="Y650" s="67"/>
      <c r="Z650" s="67"/>
      <c r="AA650" s="67"/>
      <c r="AB650" s="67"/>
      <c r="AC650" s="67"/>
      <c r="AD650" s="67"/>
      <c r="AE650" s="67"/>
      <c r="AF650" s="67"/>
      <c r="AG650" s="67"/>
      <c r="AH650" s="67"/>
      <c r="AI650" s="67"/>
      <c r="AJ650" s="78"/>
      <c r="AK650" s="78">
        <v>2021</v>
      </c>
      <c r="AL650" s="85"/>
      <c r="AM650" s="84"/>
    </row>
    <row r="651" spans="1:39" s="66" customFormat="1" ht="49.5">
      <c r="A651" s="72" t="s">
        <v>884</v>
      </c>
      <c r="B651" s="72"/>
      <c r="C651" s="72"/>
      <c r="D651" s="72"/>
      <c r="E651" s="120"/>
      <c r="F651" s="120"/>
      <c r="G651" s="80" t="s">
        <v>1278</v>
      </c>
      <c r="H651" s="80" t="s">
        <v>188</v>
      </c>
      <c r="I651" s="80" t="s">
        <v>108</v>
      </c>
      <c r="J651" s="81" t="s">
        <v>186</v>
      </c>
      <c r="K651" s="86" t="s">
        <v>1279</v>
      </c>
      <c r="L651" s="293">
        <f>SUM(M651:Q651)</f>
        <v>599999</v>
      </c>
      <c r="M651" s="294">
        <v>599999</v>
      </c>
      <c r="N651" s="294"/>
      <c r="O651" s="294"/>
      <c r="P651" s="294"/>
      <c r="Q651" s="294"/>
      <c r="R651" s="118"/>
      <c r="S651" s="118"/>
      <c r="T651" s="118"/>
      <c r="U651" s="118">
        <v>599999</v>
      </c>
      <c r="V651" s="69"/>
      <c r="W651" s="67"/>
      <c r="X651" s="67"/>
      <c r="Y651" s="67"/>
      <c r="Z651" s="67"/>
      <c r="AA651" s="67"/>
      <c r="AB651" s="67"/>
      <c r="AC651" s="67"/>
      <c r="AD651" s="67"/>
      <c r="AE651" s="67"/>
      <c r="AF651" s="67"/>
      <c r="AG651" s="67"/>
      <c r="AH651" s="67"/>
      <c r="AI651" s="67"/>
      <c r="AJ651" s="78"/>
      <c r="AK651" s="78">
        <v>2021</v>
      </c>
      <c r="AL651" s="85"/>
      <c r="AM651" s="84"/>
    </row>
    <row r="652" spans="1:39" s="66" customFormat="1" ht="33">
      <c r="A652" s="72" t="s">
        <v>884</v>
      </c>
      <c r="B652" s="72"/>
      <c r="C652" s="72"/>
      <c r="D652" s="72"/>
      <c r="E652" s="120"/>
      <c r="F652" s="120"/>
      <c r="G652" s="80" t="s">
        <v>1278</v>
      </c>
      <c r="H652" s="80" t="s">
        <v>188</v>
      </c>
      <c r="I652" s="80" t="s">
        <v>108</v>
      </c>
      <c r="J652" s="81" t="s">
        <v>186</v>
      </c>
      <c r="K652" s="86" t="s">
        <v>1280</v>
      </c>
      <c r="L652" s="293">
        <f>SUM(M652:Q652)</f>
        <v>253080</v>
      </c>
      <c r="M652" s="294">
        <v>253080</v>
      </c>
      <c r="N652" s="294"/>
      <c r="O652" s="294"/>
      <c r="P652" s="294"/>
      <c r="Q652" s="294"/>
      <c r="R652" s="118"/>
      <c r="S652" s="118"/>
      <c r="T652" s="118"/>
      <c r="U652" s="118">
        <v>253080</v>
      </c>
      <c r="V652" s="69"/>
      <c r="W652" s="67"/>
      <c r="X652" s="67"/>
      <c r="Y652" s="67"/>
      <c r="Z652" s="67"/>
      <c r="AA652" s="67"/>
      <c r="AB652" s="67"/>
      <c r="AC652" s="67"/>
      <c r="AD652" s="67"/>
      <c r="AE652" s="67"/>
      <c r="AF652" s="67"/>
      <c r="AG652" s="67"/>
      <c r="AH652" s="67"/>
      <c r="AI652" s="67"/>
      <c r="AJ652" s="78"/>
      <c r="AK652" s="78">
        <v>2021</v>
      </c>
      <c r="AL652" s="85"/>
      <c r="AM652" s="84"/>
    </row>
    <row r="653" spans="1:39" s="27" customFormat="1" ht="33">
      <c r="A653" s="34" t="s">
        <v>884</v>
      </c>
      <c r="B653" s="34"/>
      <c r="C653" s="72"/>
      <c r="D653" s="72"/>
      <c r="E653" s="120" t="s">
        <v>1469</v>
      </c>
      <c r="F653" s="120"/>
      <c r="G653" s="80" t="s">
        <v>262</v>
      </c>
      <c r="H653" s="80" t="s">
        <v>263</v>
      </c>
      <c r="I653" s="80" t="s">
        <v>25</v>
      </c>
      <c r="J653" s="81" t="s">
        <v>264</v>
      </c>
      <c r="K653" s="86" t="s">
        <v>265</v>
      </c>
      <c r="L653" s="293">
        <f>SUM(M653:Q653)</f>
        <v>17233790</v>
      </c>
      <c r="M653" s="294">
        <v>15000000</v>
      </c>
      <c r="N653" s="326"/>
      <c r="O653" s="326"/>
      <c r="P653" s="326">
        <v>2233790</v>
      </c>
      <c r="Q653" s="326"/>
      <c r="R653" s="63"/>
      <c r="S653" s="63"/>
      <c r="T653" s="63"/>
      <c r="U653" s="63">
        <f>35000000-2233790-10000000-342600-253080-599999</f>
        <v>21570531</v>
      </c>
      <c r="V653" s="9">
        <v>3</v>
      </c>
      <c r="W653" s="19"/>
      <c r="X653" s="19"/>
      <c r="Y653" s="19"/>
      <c r="Z653" s="52"/>
      <c r="AA653" s="52">
        <v>10000000</v>
      </c>
      <c r="AB653" s="19">
        <v>35000000</v>
      </c>
      <c r="AC653" s="19"/>
      <c r="AD653" s="19"/>
      <c r="AE653" s="19"/>
      <c r="AF653" s="19"/>
      <c r="AG653" s="19"/>
      <c r="AH653" s="19"/>
      <c r="AI653" s="52"/>
      <c r="AJ653" s="78"/>
      <c r="AK653" s="78">
        <v>2021</v>
      </c>
      <c r="AL653" s="85"/>
      <c r="AM653" s="84"/>
    </row>
    <row r="654" spans="1:39" s="198" customFormat="1">
      <c r="A654" s="193" t="s">
        <v>885</v>
      </c>
      <c r="B654" s="181" t="s">
        <v>193</v>
      </c>
      <c r="C654" s="181"/>
      <c r="D654" s="181"/>
      <c r="E654" s="182" t="s">
        <v>1225</v>
      </c>
      <c r="F654" s="182"/>
      <c r="G654" s="183" t="s">
        <v>75</v>
      </c>
      <c r="H654" s="183"/>
      <c r="I654" s="183"/>
      <c r="J654" s="184" t="s">
        <v>76</v>
      </c>
      <c r="K654" s="201"/>
      <c r="L654" s="287">
        <f t="shared" ref="L654:Q654" si="95">SUM(L656:L671)</f>
        <v>7115400</v>
      </c>
      <c r="M654" s="288">
        <f t="shared" si="95"/>
        <v>7115400</v>
      </c>
      <c r="N654" s="289">
        <f t="shared" si="95"/>
        <v>0</v>
      </c>
      <c r="O654" s="289">
        <f t="shared" si="95"/>
        <v>0</v>
      </c>
      <c r="P654" s="289">
        <f t="shared" si="95"/>
        <v>0</v>
      </c>
      <c r="Q654" s="289">
        <f t="shared" si="95"/>
        <v>0</v>
      </c>
      <c r="R654" s="187">
        <f t="shared" ref="R654:R655" si="96">L654-M654-N654-O654-P654-Q654</f>
        <v>0</v>
      </c>
      <c r="S654" s="187"/>
      <c r="T654" s="187"/>
      <c r="U654" s="187">
        <f>SUM(U656:U671)</f>
        <v>6945400</v>
      </c>
      <c r="V654" s="187"/>
      <c r="W654" s="187">
        <f>SUM(W656:W671)</f>
        <v>0</v>
      </c>
      <c r="X654" s="187">
        <f>SUM(X656:X671)</f>
        <v>144320</v>
      </c>
      <c r="Y654" s="187">
        <f>SUM(Y656:Y671)</f>
        <v>2084590</v>
      </c>
      <c r="Z654" s="187"/>
      <c r="AA654" s="187"/>
      <c r="AB654" s="187">
        <f>SUM(AB656:AB671)</f>
        <v>4716490</v>
      </c>
      <c r="AC654" s="187">
        <f>X654+Y654+AB654-N654</f>
        <v>6945400</v>
      </c>
      <c r="AD654" s="187">
        <f>SUM(AD656:AD671)</f>
        <v>0</v>
      </c>
      <c r="AE654" s="187">
        <f>SUM(AE656:AE671)</f>
        <v>0</v>
      </c>
      <c r="AF654" s="187">
        <f>SUM(AF656:AF671)</f>
        <v>0</v>
      </c>
      <c r="AG654" s="187"/>
      <c r="AH654" s="187"/>
      <c r="AI654" s="199"/>
      <c r="AJ654" s="187"/>
      <c r="AK654" s="185"/>
      <c r="AL654" s="196"/>
      <c r="AM654" s="197"/>
    </row>
    <row r="655" spans="1:39" s="198" customFormat="1">
      <c r="A655" s="193" t="s">
        <v>885</v>
      </c>
      <c r="B655" s="193"/>
      <c r="C655" s="193"/>
      <c r="D655" s="193"/>
      <c r="E655" s="182" t="s">
        <v>1225</v>
      </c>
      <c r="F655" s="182"/>
      <c r="G655" s="183" t="s">
        <v>77</v>
      </c>
      <c r="H655" s="183"/>
      <c r="I655" s="183"/>
      <c r="J655" s="190" t="s">
        <v>76</v>
      </c>
      <c r="K655" s="201"/>
      <c r="L655" s="290"/>
      <c r="M655" s="291"/>
      <c r="N655" s="297"/>
      <c r="O655" s="297"/>
      <c r="P655" s="297"/>
      <c r="Q655" s="297"/>
      <c r="R655" s="187">
        <f t="shared" si="96"/>
        <v>0</v>
      </c>
      <c r="S655" s="199"/>
      <c r="T655" s="199"/>
      <c r="U655" s="199"/>
      <c r="V655" s="200"/>
      <c r="W655" s="199"/>
      <c r="X655" s="199"/>
      <c r="Y655" s="199"/>
      <c r="Z655" s="199"/>
      <c r="AA655" s="199"/>
      <c r="AB655" s="199"/>
      <c r="AC655" s="199"/>
      <c r="AD655" s="199"/>
      <c r="AE655" s="199"/>
      <c r="AF655" s="199"/>
      <c r="AG655" s="199"/>
      <c r="AH655" s="199"/>
      <c r="AI655" s="199"/>
      <c r="AJ655" s="199"/>
      <c r="AK655" s="185"/>
      <c r="AL655" s="196"/>
      <c r="AM655" s="197"/>
    </row>
    <row r="656" spans="1:39" s="27" customFormat="1" ht="33">
      <c r="A656" s="72" t="s">
        <v>885</v>
      </c>
      <c r="B656" s="72"/>
      <c r="C656" s="72"/>
      <c r="D656" s="72"/>
      <c r="E656" s="120" t="s">
        <v>1469</v>
      </c>
      <c r="F656" s="120"/>
      <c r="G656" s="154" t="s">
        <v>712</v>
      </c>
      <c r="H656" s="154" t="s">
        <v>15</v>
      </c>
      <c r="I656" s="154" t="s">
        <v>16</v>
      </c>
      <c r="J656" s="125" t="s">
        <v>713</v>
      </c>
      <c r="K656" s="155" t="s">
        <v>18</v>
      </c>
      <c r="L656" s="179">
        <f t="shared" ref="L656:L671" si="97">SUM(M656:Q656)</f>
        <v>320000</v>
      </c>
      <c r="M656" s="323">
        <f>420000-100000</f>
        <v>320000</v>
      </c>
      <c r="N656" s="310"/>
      <c r="O656" s="301"/>
      <c r="P656" s="301"/>
      <c r="Q656" s="301"/>
      <c r="R656" s="67"/>
      <c r="S656" s="67"/>
      <c r="T656" s="67"/>
      <c r="U656" s="67">
        <v>420000</v>
      </c>
      <c r="V656" s="9">
        <v>3</v>
      </c>
      <c r="W656" s="19"/>
      <c r="X656" s="19"/>
      <c r="Y656" s="19"/>
      <c r="Z656" s="52"/>
      <c r="AA656" s="52"/>
      <c r="AB656" s="19">
        <v>420000</v>
      </c>
      <c r="AC656" s="19"/>
      <c r="AD656" s="19"/>
      <c r="AE656" s="19"/>
      <c r="AF656" s="19"/>
      <c r="AG656" s="19"/>
      <c r="AH656" s="19"/>
      <c r="AI656" s="52"/>
      <c r="AJ656" s="156"/>
      <c r="AK656" s="156">
        <v>2021</v>
      </c>
      <c r="AL656" s="158"/>
      <c r="AM656" s="159"/>
    </row>
    <row r="657" spans="1:39" s="27" customFormat="1" ht="33">
      <c r="A657" s="72" t="s">
        <v>885</v>
      </c>
      <c r="B657" s="72"/>
      <c r="C657" s="72"/>
      <c r="D657" s="72"/>
      <c r="E657" s="120"/>
      <c r="F657" s="120"/>
      <c r="G657" s="154" t="s">
        <v>714</v>
      </c>
      <c r="H657" s="154" t="s">
        <v>188</v>
      </c>
      <c r="I657" s="154" t="s">
        <v>108</v>
      </c>
      <c r="J657" s="125" t="s">
        <v>186</v>
      </c>
      <c r="K657" s="155" t="s">
        <v>189</v>
      </c>
      <c r="L657" s="179">
        <f t="shared" si="97"/>
        <v>600000</v>
      </c>
      <c r="M657" s="323">
        <v>600000</v>
      </c>
      <c r="N657" s="310"/>
      <c r="O657" s="301"/>
      <c r="P657" s="301"/>
      <c r="Q657" s="301"/>
      <c r="R657" s="67"/>
      <c r="S657" s="67"/>
      <c r="T657" s="67"/>
      <c r="U657" s="67">
        <v>1200000</v>
      </c>
      <c r="V657" s="9">
        <v>2</v>
      </c>
      <c r="W657" s="19"/>
      <c r="X657" s="19"/>
      <c r="Y657" s="19">
        <v>1200000</v>
      </c>
      <c r="Z657" s="52"/>
      <c r="AA657" s="52"/>
      <c r="AB657" s="19"/>
      <c r="AC657" s="19"/>
      <c r="AD657" s="19"/>
      <c r="AE657" s="19"/>
      <c r="AF657" s="19"/>
      <c r="AG657" s="19"/>
      <c r="AH657" s="19"/>
      <c r="AI657" s="52"/>
      <c r="AJ657" s="156"/>
      <c r="AK657" s="115"/>
      <c r="AL657" s="116"/>
      <c r="AM657" s="117"/>
    </row>
    <row r="658" spans="1:39" s="27" customFormat="1" ht="66">
      <c r="A658" s="72" t="s">
        <v>885</v>
      </c>
      <c r="B658" s="72"/>
      <c r="C658" s="72"/>
      <c r="D658" s="72"/>
      <c r="E658" s="120" t="s">
        <v>905</v>
      </c>
      <c r="F658" s="120"/>
      <c r="G658" s="154" t="s">
        <v>715</v>
      </c>
      <c r="H658" s="154" t="s">
        <v>716</v>
      </c>
      <c r="I658" s="154" t="s">
        <v>108</v>
      </c>
      <c r="J658" s="125" t="s">
        <v>717</v>
      </c>
      <c r="K658" s="157" t="s">
        <v>718</v>
      </c>
      <c r="L658" s="179">
        <f t="shared" si="97"/>
        <v>55000</v>
      </c>
      <c r="M658" s="323">
        <v>55000</v>
      </c>
      <c r="N658" s="310"/>
      <c r="O658" s="301"/>
      <c r="P658" s="301"/>
      <c r="Q658" s="301"/>
      <c r="R658" s="67"/>
      <c r="S658" s="67"/>
      <c r="T658" s="67"/>
      <c r="U658" s="67">
        <v>160000</v>
      </c>
      <c r="V658" s="9">
        <v>2</v>
      </c>
      <c r="W658" s="19"/>
      <c r="X658" s="19"/>
      <c r="Y658" s="19">
        <v>160000</v>
      </c>
      <c r="Z658" s="52"/>
      <c r="AA658" s="52"/>
      <c r="AB658" s="19"/>
      <c r="AC658" s="19"/>
      <c r="AD658" s="19"/>
      <c r="AE658" s="19"/>
      <c r="AF658" s="19"/>
      <c r="AG658" s="19"/>
      <c r="AH658" s="19"/>
      <c r="AI658" s="52"/>
      <c r="AJ658" s="156">
        <v>100</v>
      </c>
      <c r="AK658" s="156">
        <v>2021</v>
      </c>
      <c r="AL658" s="158"/>
      <c r="AM658" s="159"/>
    </row>
    <row r="659" spans="1:39" s="27" customFormat="1" ht="66">
      <c r="A659" s="72" t="s">
        <v>885</v>
      </c>
      <c r="B659" s="72"/>
      <c r="C659" s="72"/>
      <c r="D659" s="72"/>
      <c r="E659" s="120"/>
      <c r="F659" s="120"/>
      <c r="G659" s="154" t="s">
        <v>715</v>
      </c>
      <c r="H659" s="154" t="s">
        <v>716</v>
      </c>
      <c r="I659" s="154" t="s">
        <v>108</v>
      </c>
      <c r="J659" s="125" t="s">
        <v>717</v>
      </c>
      <c r="K659" s="157" t="s">
        <v>857</v>
      </c>
      <c r="L659" s="179">
        <f t="shared" si="97"/>
        <v>95200</v>
      </c>
      <c r="M659" s="323">
        <v>95200</v>
      </c>
      <c r="N659" s="310"/>
      <c r="O659" s="301"/>
      <c r="P659" s="301"/>
      <c r="Q659" s="301"/>
      <c r="R659" s="67"/>
      <c r="S659" s="67"/>
      <c r="T659" s="67"/>
      <c r="U659" s="67">
        <v>55000</v>
      </c>
      <c r="V659" s="9">
        <v>2</v>
      </c>
      <c r="W659" s="19"/>
      <c r="X659" s="19"/>
      <c r="Y659" s="19">
        <v>55000</v>
      </c>
      <c r="Z659" s="52"/>
      <c r="AA659" s="52"/>
      <c r="AB659" s="19"/>
      <c r="AC659" s="19"/>
      <c r="AD659" s="19"/>
      <c r="AE659" s="19"/>
      <c r="AF659" s="19"/>
      <c r="AG659" s="19"/>
      <c r="AH659" s="19"/>
      <c r="AI659" s="52"/>
      <c r="AJ659" s="156"/>
      <c r="AK659" s="156">
        <v>2021</v>
      </c>
      <c r="AL659" s="158"/>
      <c r="AM659" s="159"/>
    </row>
    <row r="660" spans="1:39" s="27" customFormat="1" ht="82.5">
      <c r="A660" s="72" t="s">
        <v>885</v>
      </c>
      <c r="B660" s="72"/>
      <c r="C660" s="72"/>
      <c r="D660" s="72"/>
      <c r="E660" s="120" t="s">
        <v>905</v>
      </c>
      <c r="F660" s="120"/>
      <c r="G660" s="154" t="s">
        <v>715</v>
      </c>
      <c r="H660" s="154" t="s">
        <v>716</v>
      </c>
      <c r="I660" s="154" t="s">
        <v>108</v>
      </c>
      <c r="J660" s="125" t="s">
        <v>717</v>
      </c>
      <c r="K660" s="157" t="s">
        <v>719</v>
      </c>
      <c r="L660" s="179">
        <f t="shared" si="97"/>
        <v>1000000</v>
      </c>
      <c r="M660" s="323">
        <v>1000000</v>
      </c>
      <c r="N660" s="310"/>
      <c r="O660" s="301"/>
      <c r="P660" s="301"/>
      <c r="Q660" s="301"/>
      <c r="R660" s="67"/>
      <c r="S660" s="67"/>
      <c r="T660" s="67"/>
      <c r="U660" s="67">
        <v>95200</v>
      </c>
      <c r="V660" s="9">
        <v>2</v>
      </c>
      <c r="W660" s="19"/>
      <c r="X660" s="19"/>
      <c r="Y660" s="19">
        <v>95200</v>
      </c>
      <c r="Z660" s="52"/>
      <c r="AA660" s="52"/>
      <c r="AB660" s="19"/>
      <c r="AC660" s="19"/>
      <c r="AD660" s="19"/>
      <c r="AE660" s="19"/>
      <c r="AF660" s="19"/>
      <c r="AG660" s="19"/>
      <c r="AH660" s="19"/>
      <c r="AI660" s="52"/>
      <c r="AJ660" s="156">
        <v>100</v>
      </c>
      <c r="AK660" s="156">
        <v>2021</v>
      </c>
      <c r="AL660" s="158"/>
      <c r="AM660" s="159"/>
    </row>
    <row r="661" spans="1:39" s="27" customFormat="1" ht="33">
      <c r="A661" s="72" t="s">
        <v>885</v>
      </c>
      <c r="B661" s="72"/>
      <c r="C661" s="72"/>
      <c r="D661" s="72"/>
      <c r="E661" s="120" t="s">
        <v>1469</v>
      </c>
      <c r="F661" s="120"/>
      <c r="G661" s="154" t="s">
        <v>715</v>
      </c>
      <c r="H661" s="154" t="s">
        <v>716</v>
      </c>
      <c r="I661" s="154" t="s">
        <v>108</v>
      </c>
      <c r="J661" s="125" t="s">
        <v>717</v>
      </c>
      <c r="K661" s="157" t="s">
        <v>720</v>
      </c>
      <c r="L661" s="179">
        <f t="shared" si="97"/>
        <v>397293</v>
      </c>
      <c r="M661" s="323">
        <v>397293</v>
      </c>
      <c r="N661" s="310"/>
      <c r="O661" s="301"/>
      <c r="P661" s="301"/>
      <c r="Q661" s="301"/>
      <c r="R661" s="67"/>
      <c r="S661" s="67"/>
      <c r="T661" s="67"/>
      <c r="U661" s="67">
        <v>1000000</v>
      </c>
      <c r="V661" s="9">
        <v>3</v>
      </c>
      <c r="W661" s="19"/>
      <c r="X661" s="19"/>
      <c r="Y661" s="19"/>
      <c r="Z661" s="52"/>
      <c r="AA661" s="52"/>
      <c r="AB661" s="19">
        <v>1000000</v>
      </c>
      <c r="AC661" s="19"/>
      <c r="AD661" s="19"/>
      <c r="AE661" s="19"/>
      <c r="AF661" s="19"/>
      <c r="AG661" s="19"/>
      <c r="AH661" s="19"/>
      <c r="AI661" s="52"/>
      <c r="AJ661" s="156">
        <v>100</v>
      </c>
      <c r="AK661" s="156">
        <v>2021</v>
      </c>
      <c r="AL661" s="158"/>
      <c r="AM661" s="159"/>
    </row>
    <row r="662" spans="1:39" s="27" customFormat="1" ht="33">
      <c r="A662" s="72" t="s">
        <v>885</v>
      </c>
      <c r="B662" s="72"/>
      <c r="C662" s="72"/>
      <c r="D662" s="72"/>
      <c r="E662" s="120" t="s">
        <v>906</v>
      </c>
      <c r="F662" s="120"/>
      <c r="G662" s="154" t="s">
        <v>715</v>
      </c>
      <c r="H662" s="154" t="s">
        <v>716</v>
      </c>
      <c r="I662" s="154" t="s">
        <v>108</v>
      </c>
      <c r="J662" s="125" t="s">
        <v>717</v>
      </c>
      <c r="K662" s="157" t="s">
        <v>1156</v>
      </c>
      <c r="L662" s="179">
        <f t="shared" si="97"/>
        <v>214400</v>
      </c>
      <c r="M662" s="323">
        <v>214400</v>
      </c>
      <c r="N662" s="310"/>
      <c r="O662" s="301"/>
      <c r="P662" s="301"/>
      <c r="Q662" s="301"/>
      <c r="R662" s="67"/>
      <c r="S662" s="67"/>
      <c r="T662" s="67"/>
      <c r="U662" s="67">
        <v>397293</v>
      </c>
      <c r="V662" s="9">
        <v>2</v>
      </c>
      <c r="W662" s="19"/>
      <c r="X662" s="19"/>
      <c r="Y662" s="19">
        <v>397293</v>
      </c>
      <c r="Z662" s="52"/>
      <c r="AA662" s="52"/>
      <c r="AB662" s="19"/>
      <c r="AC662" s="19"/>
      <c r="AD662" s="19"/>
      <c r="AE662" s="19"/>
      <c r="AF662" s="19"/>
      <c r="AG662" s="19"/>
      <c r="AH662" s="19"/>
      <c r="AI662" s="52"/>
      <c r="AJ662" s="156">
        <v>100</v>
      </c>
      <c r="AK662" s="156">
        <v>2021</v>
      </c>
      <c r="AL662" s="158"/>
      <c r="AM662" s="159"/>
    </row>
    <row r="663" spans="1:39" s="27" customFormat="1" ht="49.5">
      <c r="A663" s="72" t="s">
        <v>885</v>
      </c>
      <c r="B663" s="72"/>
      <c r="C663" s="72"/>
      <c r="D663" s="72"/>
      <c r="E663" s="120" t="s">
        <v>1469</v>
      </c>
      <c r="F663" s="120"/>
      <c r="G663" s="154" t="s">
        <v>715</v>
      </c>
      <c r="H663" s="154" t="s">
        <v>716</v>
      </c>
      <c r="I663" s="154" t="s">
        <v>108</v>
      </c>
      <c r="J663" s="125" t="s">
        <v>717</v>
      </c>
      <c r="K663" s="157" t="s">
        <v>722</v>
      </c>
      <c r="L663" s="179">
        <f t="shared" si="97"/>
        <v>177097</v>
      </c>
      <c r="M663" s="323">
        <v>177097</v>
      </c>
      <c r="N663" s="310"/>
      <c r="O663" s="301"/>
      <c r="P663" s="301"/>
      <c r="Q663" s="301"/>
      <c r="R663" s="67"/>
      <c r="S663" s="67"/>
      <c r="T663" s="67"/>
      <c r="U663" s="67" t="s">
        <v>721</v>
      </c>
      <c r="V663" s="9">
        <v>2</v>
      </c>
      <c r="W663" s="19"/>
      <c r="X663" s="19"/>
      <c r="Y663" s="19" t="s">
        <v>721</v>
      </c>
      <c r="Z663" s="52"/>
      <c r="AA663" s="52"/>
      <c r="AB663" s="19"/>
      <c r="AC663" s="19"/>
      <c r="AD663" s="19"/>
      <c r="AE663" s="19"/>
      <c r="AF663" s="19"/>
      <c r="AG663" s="19"/>
      <c r="AH663" s="19"/>
      <c r="AI663" s="52"/>
      <c r="AJ663" s="156">
        <v>100</v>
      </c>
      <c r="AK663" s="156">
        <v>2021</v>
      </c>
      <c r="AL663" s="158"/>
      <c r="AM663" s="159"/>
    </row>
    <row r="664" spans="1:39" s="27" customFormat="1" ht="33">
      <c r="A664" s="72" t="s">
        <v>885</v>
      </c>
      <c r="B664" s="72"/>
      <c r="C664" s="72"/>
      <c r="D664" s="72"/>
      <c r="E664" s="120" t="s">
        <v>905</v>
      </c>
      <c r="F664" s="120"/>
      <c r="G664" s="154" t="s">
        <v>715</v>
      </c>
      <c r="H664" s="154" t="s">
        <v>716</v>
      </c>
      <c r="I664" s="154" t="s">
        <v>108</v>
      </c>
      <c r="J664" s="125" t="s">
        <v>717</v>
      </c>
      <c r="K664" s="157" t="s">
        <v>868</v>
      </c>
      <c r="L664" s="179">
        <f t="shared" si="97"/>
        <v>390020</v>
      </c>
      <c r="M664" s="323">
        <v>390020</v>
      </c>
      <c r="N664" s="310"/>
      <c r="O664" s="301"/>
      <c r="P664" s="301"/>
      <c r="Q664" s="301"/>
      <c r="R664" s="67"/>
      <c r="S664" s="67"/>
      <c r="T664" s="67"/>
      <c r="U664" s="67">
        <v>177097</v>
      </c>
      <c r="V664" s="9">
        <v>2</v>
      </c>
      <c r="W664" s="19"/>
      <c r="X664" s="19"/>
      <c r="Y664" s="19">
        <v>177097</v>
      </c>
      <c r="Z664" s="52"/>
      <c r="AA664" s="52"/>
      <c r="AB664" s="19"/>
      <c r="AC664" s="19"/>
      <c r="AD664" s="19"/>
      <c r="AE664" s="19"/>
      <c r="AF664" s="19"/>
      <c r="AG664" s="19"/>
      <c r="AH664" s="19"/>
      <c r="AI664" s="52"/>
      <c r="AJ664" s="156">
        <v>100</v>
      </c>
      <c r="AK664" s="156">
        <v>2021</v>
      </c>
      <c r="AL664" s="158"/>
      <c r="AM664" s="159"/>
    </row>
    <row r="665" spans="1:39" s="27" customFormat="1" ht="33">
      <c r="A665" s="72" t="s">
        <v>885</v>
      </c>
      <c r="B665" s="72"/>
      <c r="C665" s="72"/>
      <c r="D665" s="72"/>
      <c r="E665" s="120" t="s">
        <v>905</v>
      </c>
      <c r="F665" s="120"/>
      <c r="G665" s="154" t="s">
        <v>715</v>
      </c>
      <c r="H665" s="154" t="s">
        <v>716</v>
      </c>
      <c r="I665" s="154" t="s">
        <v>108</v>
      </c>
      <c r="J665" s="125" t="s">
        <v>717</v>
      </c>
      <c r="K665" s="157" t="s">
        <v>869</v>
      </c>
      <c r="L665" s="179">
        <f t="shared" si="97"/>
        <v>20000</v>
      </c>
      <c r="M665" s="323">
        <v>20000</v>
      </c>
      <c r="N665" s="310"/>
      <c r="O665" s="301"/>
      <c r="P665" s="301"/>
      <c r="Q665" s="301"/>
      <c r="R665" s="67"/>
      <c r="S665" s="67"/>
      <c r="T665" s="67"/>
      <c r="U665" s="67">
        <v>390020</v>
      </c>
      <c r="V665" s="9">
        <v>3</v>
      </c>
      <c r="W665" s="19"/>
      <c r="X665" s="19"/>
      <c r="Y665" s="19"/>
      <c r="Z665" s="52"/>
      <c r="AA665" s="52"/>
      <c r="AB665" s="19">
        <v>390020</v>
      </c>
      <c r="AC665" s="19"/>
      <c r="AD665" s="19"/>
      <c r="AE665" s="19"/>
      <c r="AF665" s="19"/>
      <c r="AG665" s="19"/>
      <c r="AH665" s="19"/>
      <c r="AI665" s="52"/>
      <c r="AJ665" s="156">
        <v>100</v>
      </c>
      <c r="AK665" s="156" t="s">
        <v>271</v>
      </c>
      <c r="AL665" s="158"/>
      <c r="AM665" s="159">
        <v>100</v>
      </c>
    </row>
    <row r="666" spans="1:39" s="27" customFormat="1" ht="33">
      <c r="A666" s="72" t="s">
        <v>885</v>
      </c>
      <c r="B666" s="72"/>
      <c r="C666" s="72"/>
      <c r="D666" s="72"/>
      <c r="E666" s="120" t="s">
        <v>905</v>
      </c>
      <c r="F666" s="120"/>
      <c r="G666" s="154" t="s">
        <v>715</v>
      </c>
      <c r="H666" s="154" t="s">
        <v>716</v>
      </c>
      <c r="I666" s="154" t="s">
        <v>108</v>
      </c>
      <c r="J666" s="125" t="s">
        <v>717</v>
      </c>
      <c r="K666" s="157" t="s">
        <v>858</v>
      </c>
      <c r="L666" s="179">
        <f t="shared" si="97"/>
        <v>49320</v>
      </c>
      <c r="M666" s="323">
        <v>49320</v>
      </c>
      <c r="N666" s="310"/>
      <c r="O666" s="301"/>
      <c r="P666" s="301"/>
      <c r="Q666" s="301"/>
      <c r="R666" s="67"/>
      <c r="S666" s="67"/>
      <c r="T666" s="67"/>
      <c r="U666" s="67">
        <v>20000</v>
      </c>
      <c r="V666" s="9">
        <v>1</v>
      </c>
      <c r="W666" s="19"/>
      <c r="X666" s="19">
        <v>20000</v>
      </c>
      <c r="Y666" s="19"/>
      <c r="Z666" s="52"/>
      <c r="AA666" s="52"/>
      <c r="AB666" s="19"/>
      <c r="AC666" s="19"/>
      <c r="AD666" s="19"/>
      <c r="AE666" s="19"/>
      <c r="AF666" s="19"/>
      <c r="AG666" s="19"/>
      <c r="AH666" s="19"/>
      <c r="AI666" s="52"/>
      <c r="AJ666" s="156">
        <v>100</v>
      </c>
      <c r="AK666" s="156" t="s">
        <v>272</v>
      </c>
      <c r="AL666" s="158"/>
      <c r="AM666" s="159">
        <v>100</v>
      </c>
    </row>
    <row r="667" spans="1:39" s="27" customFormat="1" ht="49.5">
      <c r="A667" s="72" t="s">
        <v>885</v>
      </c>
      <c r="B667" s="72"/>
      <c r="C667" s="72"/>
      <c r="D667" s="72"/>
      <c r="E667" s="120" t="s">
        <v>1469</v>
      </c>
      <c r="F667" s="120"/>
      <c r="G667" s="154" t="s">
        <v>715</v>
      </c>
      <c r="H667" s="154" t="s">
        <v>716</v>
      </c>
      <c r="I667" s="154" t="s">
        <v>108</v>
      </c>
      <c r="J667" s="125" t="s">
        <v>717</v>
      </c>
      <c r="K667" s="157" t="s">
        <v>1006</v>
      </c>
      <c r="L667" s="179">
        <f t="shared" si="97"/>
        <v>75000</v>
      </c>
      <c r="M667" s="323">
        <v>75000</v>
      </c>
      <c r="N667" s="310"/>
      <c r="O667" s="301"/>
      <c r="P667" s="301"/>
      <c r="Q667" s="301"/>
      <c r="R667" s="67"/>
      <c r="S667" s="67"/>
      <c r="T667" s="67"/>
      <c r="U667" s="67">
        <v>49320</v>
      </c>
      <c r="V667" s="9">
        <v>1</v>
      </c>
      <c r="W667" s="19"/>
      <c r="X667" s="19">
        <v>49320</v>
      </c>
      <c r="Y667" s="19"/>
      <c r="Z667" s="52"/>
      <c r="AA667" s="52"/>
      <c r="AB667" s="19"/>
      <c r="AC667" s="19"/>
      <c r="AD667" s="19"/>
      <c r="AE667" s="19"/>
      <c r="AF667" s="19"/>
      <c r="AG667" s="19"/>
      <c r="AH667" s="19"/>
      <c r="AI667" s="52"/>
      <c r="AJ667" s="156">
        <v>100</v>
      </c>
      <c r="AK667" s="156" t="s">
        <v>402</v>
      </c>
      <c r="AL667" s="158"/>
      <c r="AM667" s="159">
        <v>100</v>
      </c>
    </row>
    <row r="668" spans="1:39" s="27" customFormat="1" ht="33">
      <c r="A668" s="72" t="s">
        <v>885</v>
      </c>
      <c r="B668" s="72"/>
      <c r="C668" s="72"/>
      <c r="D668" s="72"/>
      <c r="E668" s="120" t="s">
        <v>905</v>
      </c>
      <c r="F668" s="120"/>
      <c r="G668" s="154" t="s">
        <v>715</v>
      </c>
      <c r="H668" s="154" t="s">
        <v>716</v>
      </c>
      <c r="I668" s="154" t="s">
        <v>108</v>
      </c>
      <c r="J668" s="125" t="s">
        <v>717</v>
      </c>
      <c r="K668" s="157" t="s">
        <v>723</v>
      </c>
      <c r="L668" s="179">
        <f t="shared" si="97"/>
        <v>306470</v>
      </c>
      <c r="M668" s="323">
        <v>306470</v>
      </c>
      <c r="N668" s="310"/>
      <c r="O668" s="301"/>
      <c r="P668" s="301"/>
      <c r="Q668" s="301"/>
      <c r="R668" s="67"/>
      <c r="S668" s="67"/>
      <c r="T668" s="67"/>
      <c r="U668" s="67">
        <v>75000</v>
      </c>
      <c r="V668" s="9">
        <v>1</v>
      </c>
      <c r="W668" s="19"/>
      <c r="X668" s="19">
        <v>75000</v>
      </c>
      <c r="Y668" s="19"/>
      <c r="Z668" s="52"/>
      <c r="AA668" s="52"/>
      <c r="AB668" s="19"/>
      <c r="AC668" s="19"/>
      <c r="AD668" s="19"/>
      <c r="AE668" s="19"/>
      <c r="AF668" s="19"/>
      <c r="AG668" s="19"/>
      <c r="AH668" s="19"/>
      <c r="AI668" s="52"/>
      <c r="AJ668" s="156">
        <v>100</v>
      </c>
      <c r="AK668" s="156">
        <v>2021</v>
      </c>
      <c r="AL668" s="158"/>
      <c r="AM668" s="159"/>
    </row>
    <row r="669" spans="1:39" s="27" customFormat="1" ht="49.5">
      <c r="A669" s="72" t="s">
        <v>885</v>
      </c>
      <c r="B669" s="72"/>
      <c r="C669" s="72"/>
      <c r="D669" s="72"/>
      <c r="E669" s="120" t="s">
        <v>1469</v>
      </c>
      <c r="F669" s="120"/>
      <c r="G669" s="154" t="s">
        <v>715</v>
      </c>
      <c r="H669" s="154" t="s">
        <v>716</v>
      </c>
      <c r="I669" s="154" t="s">
        <v>108</v>
      </c>
      <c r="J669" s="125" t="s">
        <v>717</v>
      </c>
      <c r="K669" s="157" t="s">
        <v>959</v>
      </c>
      <c r="L669" s="179">
        <f t="shared" si="97"/>
        <v>2000000</v>
      </c>
      <c r="M669" s="323">
        <v>2000000</v>
      </c>
      <c r="N669" s="310"/>
      <c r="O669" s="301"/>
      <c r="P669" s="301"/>
      <c r="Q669" s="301"/>
      <c r="R669" s="67"/>
      <c r="S669" s="67"/>
      <c r="T669" s="67"/>
      <c r="U669" s="67">
        <v>306470</v>
      </c>
      <c r="V669" s="9">
        <v>3</v>
      </c>
      <c r="W669" s="19"/>
      <c r="X669" s="19"/>
      <c r="Y669" s="19"/>
      <c r="Z669" s="52"/>
      <c r="AA669" s="52"/>
      <c r="AB669" s="19">
        <v>306470</v>
      </c>
      <c r="AC669" s="19"/>
      <c r="AD669" s="19"/>
      <c r="AE669" s="19"/>
      <c r="AF669" s="19"/>
      <c r="AG669" s="19"/>
      <c r="AH669" s="19"/>
      <c r="AI669" s="52"/>
      <c r="AJ669" s="156">
        <v>100</v>
      </c>
      <c r="AK669" s="156">
        <v>2021</v>
      </c>
      <c r="AL669" s="158"/>
      <c r="AM669" s="159"/>
    </row>
    <row r="670" spans="1:39" s="27" customFormat="1" ht="49.5">
      <c r="A670" s="72" t="s">
        <v>885</v>
      </c>
      <c r="B670" s="72"/>
      <c r="C670" s="72"/>
      <c r="D670" s="72"/>
      <c r="E670" s="120" t="s">
        <v>1469</v>
      </c>
      <c r="F670" s="120"/>
      <c r="G670" s="154" t="s">
        <v>715</v>
      </c>
      <c r="H670" s="154" t="s">
        <v>716</v>
      </c>
      <c r="I670" s="154" t="s">
        <v>108</v>
      </c>
      <c r="J670" s="125" t="s">
        <v>717</v>
      </c>
      <c r="K670" s="157" t="s">
        <v>961</v>
      </c>
      <c r="L670" s="179">
        <f t="shared" si="97"/>
        <v>1065600</v>
      </c>
      <c r="M670" s="323">
        <v>1065600</v>
      </c>
      <c r="N670" s="310"/>
      <c r="O670" s="301"/>
      <c r="P670" s="301"/>
      <c r="Q670" s="301"/>
      <c r="R670" s="67"/>
      <c r="S670" s="67"/>
      <c r="T670" s="67"/>
      <c r="U670" s="67">
        <v>600000</v>
      </c>
      <c r="V670" s="9">
        <v>3</v>
      </c>
      <c r="W670" s="19"/>
      <c r="X670" s="19"/>
      <c r="Y670" s="19"/>
      <c r="Z670" s="52"/>
      <c r="AA670" s="52"/>
      <c r="AB670" s="19">
        <v>600000</v>
      </c>
      <c r="AC670" s="19"/>
      <c r="AD670" s="19"/>
      <c r="AE670" s="19"/>
      <c r="AF670" s="19"/>
      <c r="AG670" s="19"/>
      <c r="AH670" s="19"/>
      <c r="AI670" s="52"/>
      <c r="AJ670" s="156">
        <v>100</v>
      </c>
      <c r="AK670" s="156">
        <v>2021</v>
      </c>
      <c r="AL670" s="158"/>
      <c r="AM670" s="159"/>
    </row>
    <row r="671" spans="1:39" s="27" customFormat="1" ht="33">
      <c r="A671" s="72" t="s">
        <v>885</v>
      </c>
      <c r="B671" s="72"/>
      <c r="C671" s="72"/>
      <c r="D671" s="72"/>
      <c r="E671" s="120" t="s">
        <v>1469</v>
      </c>
      <c r="F671" s="120"/>
      <c r="G671" s="154" t="s">
        <v>715</v>
      </c>
      <c r="H671" s="154" t="s">
        <v>716</v>
      </c>
      <c r="I671" s="154" t="s">
        <v>108</v>
      </c>
      <c r="J671" s="125" t="s">
        <v>717</v>
      </c>
      <c r="K671" s="124" t="s">
        <v>724</v>
      </c>
      <c r="L671" s="179">
        <f t="shared" si="97"/>
        <v>350000</v>
      </c>
      <c r="M671" s="323">
        <v>350000</v>
      </c>
      <c r="N671" s="310"/>
      <c r="O671" s="301"/>
      <c r="P671" s="301"/>
      <c r="Q671" s="301"/>
      <c r="R671" s="67"/>
      <c r="S671" s="67"/>
      <c r="T671" s="67"/>
      <c r="U671" s="67">
        <v>2000000</v>
      </c>
      <c r="V671" s="9">
        <v>3</v>
      </c>
      <c r="W671" s="19"/>
      <c r="X671" s="19"/>
      <c r="Y671" s="19"/>
      <c r="Z671" s="52"/>
      <c r="AA671" s="52"/>
      <c r="AB671" s="19">
        <v>2000000</v>
      </c>
      <c r="AC671" s="19"/>
      <c r="AD671" s="19"/>
      <c r="AE671" s="19"/>
      <c r="AF671" s="19"/>
      <c r="AG671" s="19"/>
      <c r="AH671" s="19"/>
      <c r="AI671" s="52"/>
      <c r="AJ671" s="156">
        <v>100</v>
      </c>
      <c r="AK671" s="156">
        <v>2021</v>
      </c>
      <c r="AL671" s="158"/>
      <c r="AM671" s="159"/>
    </row>
    <row r="672" spans="1:39" s="198" customFormat="1">
      <c r="A672" s="193" t="s">
        <v>886</v>
      </c>
      <c r="B672" s="181" t="s">
        <v>193</v>
      </c>
      <c r="C672" s="181"/>
      <c r="D672" s="181"/>
      <c r="E672" s="182" t="s">
        <v>1225</v>
      </c>
      <c r="F672" s="182"/>
      <c r="G672" s="183" t="s">
        <v>78</v>
      </c>
      <c r="H672" s="183"/>
      <c r="I672" s="183"/>
      <c r="J672" s="184" t="s">
        <v>79</v>
      </c>
      <c r="K672" s="185"/>
      <c r="L672" s="287">
        <f t="shared" ref="L672:Q672" si="98">SUM(L674:L721)</f>
        <v>56200000</v>
      </c>
      <c r="M672" s="288">
        <f t="shared" si="98"/>
        <v>56200000</v>
      </c>
      <c r="N672" s="289">
        <f t="shared" si="98"/>
        <v>0</v>
      </c>
      <c r="O672" s="289">
        <f t="shared" si="98"/>
        <v>0</v>
      </c>
      <c r="P672" s="289">
        <f t="shared" si="98"/>
        <v>0</v>
      </c>
      <c r="Q672" s="289">
        <f t="shared" si="98"/>
        <v>0</v>
      </c>
      <c r="R672" s="187">
        <f t="shared" ref="R672:R673" si="99">L672-M672-N672-O672-P672-Q672</f>
        <v>0</v>
      </c>
      <c r="S672" s="187"/>
      <c r="T672" s="187"/>
      <c r="U672" s="187">
        <f>SUM(U674:U721)</f>
        <v>48000000</v>
      </c>
      <c r="V672" s="187"/>
      <c r="W672" s="187"/>
      <c r="X672" s="187">
        <f>SUM(X674:X721)</f>
        <v>4231981</v>
      </c>
      <c r="Y672" s="187" t="e">
        <f>SUM(Y674:Y721)</f>
        <v>#REF!</v>
      </c>
      <c r="Z672" s="187"/>
      <c r="AA672" s="187"/>
      <c r="AB672" s="187">
        <f>SUM(AB674:AB721)</f>
        <v>15465810</v>
      </c>
      <c r="AC672" s="187" t="e">
        <f>X672+Y672+AB672-N672</f>
        <v>#REF!</v>
      </c>
      <c r="AD672" s="187">
        <f>SUM(AD674:AD721)</f>
        <v>0</v>
      </c>
      <c r="AE672" s="187">
        <f>SUM(AE674:AE721)</f>
        <v>0</v>
      </c>
      <c r="AF672" s="187">
        <f>SUM(AF674:AF721)</f>
        <v>0</v>
      </c>
      <c r="AG672" s="187">
        <f>SUM(AG674:AG721)</f>
        <v>0</v>
      </c>
      <c r="AH672" s="187">
        <f>SUM(AH674:AH721)</f>
        <v>0</v>
      </c>
      <c r="AI672" s="199"/>
      <c r="AJ672" s="187"/>
      <c r="AK672" s="185"/>
      <c r="AL672" s="196"/>
      <c r="AM672" s="197"/>
    </row>
    <row r="673" spans="1:39" s="198" customFormat="1">
      <c r="A673" s="193" t="s">
        <v>886</v>
      </c>
      <c r="B673" s="193"/>
      <c r="C673" s="193"/>
      <c r="D673" s="193"/>
      <c r="E673" s="182" t="s">
        <v>1225</v>
      </c>
      <c r="F673" s="182"/>
      <c r="G673" s="183" t="s">
        <v>80</v>
      </c>
      <c r="H673" s="183"/>
      <c r="I673" s="183"/>
      <c r="J673" s="190" t="s">
        <v>79</v>
      </c>
      <c r="K673" s="185"/>
      <c r="L673" s="290"/>
      <c r="M673" s="291"/>
      <c r="N673" s="297"/>
      <c r="O673" s="297"/>
      <c r="P673" s="297"/>
      <c r="Q673" s="297"/>
      <c r="R673" s="187">
        <f t="shared" si="99"/>
        <v>0</v>
      </c>
      <c r="S673" s="199"/>
      <c r="T673" s="199"/>
      <c r="U673" s="199"/>
      <c r="V673" s="200"/>
      <c r="W673" s="199"/>
      <c r="X673" s="199"/>
      <c r="Y673" s="199"/>
      <c r="Z673" s="199"/>
      <c r="AA673" s="199"/>
      <c r="AB673" s="199"/>
      <c r="AC673" s="199"/>
      <c r="AD673" s="199"/>
      <c r="AE673" s="199"/>
      <c r="AF673" s="199"/>
      <c r="AG673" s="199"/>
      <c r="AH673" s="199"/>
      <c r="AI673" s="199"/>
      <c r="AJ673" s="199"/>
      <c r="AK673" s="185"/>
      <c r="AL673" s="196"/>
      <c r="AM673" s="197"/>
    </row>
    <row r="674" spans="1:39" s="27" customFormat="1" ht="33">
      <c r="A674" s="72" t="s">
        <v>886</v>
      </c>
      <c r="B674" s="72"/>
      <c r="C674" s="72"/>
      <c r="D674" s="72"/>
      <c r="E674" s="120" t="s">
        <v>1469</v>
      </c>
      <c r="F674" s="120"/>
      <c r="G674" s="154" t="s">
        <v>511</v>
      </c>
      <c r="H674" s="154" t="s">
        <v>15</v>
      </c>
      <c r="I674" s="154" t="s">
        <v>16</v>
      </c>
      <c r="J674" s="125" t="s">
        <v>512</v>
      </c>
      <c r="K674" s="155" t="s">
        <v>18</v>
      </c>
      <c r="L674" s="179">
        <f t="shared" ref="L674:L721" si="100">SUM(M674:Q674)</f>
        <v>300000</v>
      </c>
      <c r="M674" s="323">
        <v>300000</v>
      </c>
      <c r="N674" s="310"/>
      <c r="O674" s="302"/>
      <c r="P674" s="302"/>
      <c r="Q674" s="302"/>
      <c r="R674" s="68"/>
      <c r="S674" s="68"/>
      <c r="T674" s="68"/>
      <c r="U674" s="68">
        <v>300000</v>
      </c>
      <c r="V674" s="4">
        <v>3</v>
      </c>
      <c r="W674" s="59"/>
      <c r="X674" s="71"/>
      <c r="Y674" s="59"/>
      <c r="Z674" s="59"/>
      <c r="AA674" s="59">
        <v>800000</v>
      </c>
      <c r="AB674" s="59">
        <v>300000</v>
      </c>
      <c r="AC674" s="59"/>
      <c r="AD674" s="59"/>
      <c r="AE674" s="59"/>
      <c r="AF674" s="59"/>
      <c r="AG674" s="59"/>
      <c r="AH674" s="59"/>
      <c r="AI674" s="52"/>
      <c r="AJ674" s="39"/>
      <c r="AK674" s="156">
        <v>2021</v>
      </c>
      <c r="AL674" s="70"/>
      <c r="AM674" s="159"/>
    </row>
    <row r="675" spans="1:39" s="27" customFormat="1" ht="33">
      <c r="A675" s="72" t="s">
        <v>886</v>
      </c>
      <c r="B675" s="72"/>
      <c r="C675" s="72"/>
      <c r="D675" s="72"/>
      <c r="E675" s="120" t="s">
        <v>901</v>
      </c>
      <c r="F675" s="120"/>
      <c r="G675" s="154" t="s">
        <v>506</v>
      </c>
      <c r="H675" s="154" t="s">
        <v>188</v>
      </c>
      <c r="I675" s="154" t="s">
        <v>108</v>
      </c>
      <c r="J675" s="125" t="s">
        <v>186</v>
      </c>
      <c r="K675" s="157" t="s">
        <v>481</v>
      </c>
      <c r="L675" s="179">
        <f t="shared" si="100"/>
        <v>6900000</v>
      </c>
      <c r="M675" s="323">
        <v>6900000</v>
      </c>
      <c r="N675" s="310"/>
      <c r="O675" s="302"/>
      <c r="P675" s="302"/>
      <c r="Q675" s="302"/>
      <c r="R675" s="68"/>
      <c r="S675" s="68"/>
      <c r="T675" s="68"/>
      <c r="U675" s="68">
        <v>6900000</v>
      </c>
      <c r="V675" s="26">
        <v>1.2</v>
      </c>
      <c r="W675" s="71"/>
      <c r="X675" s="67">
        <v>1009660</v>
      </c>
      <c r="Y675" s="67" t="e">
        <f>#REF!-X675</f>
        <v>#REF!</v>
      </c>
      <c r="Z675" s="67"/>
      <c r="AA675" s="67"/>
      <c r="AB675" s="67"/>
      <c r="AC675" s="67"/>
      <c r="AD675" s="67"/>
      <c r="AE675" s="67"/>
      <c r="AF675" s="67"/>
      <c r="AG675" s="67"/>
      <c r="AH675" s="67"/>
      <c r="AI675" s="52"/>
      <c r="AJ675" s="167">
        <v>63.6</v>
      </c>
      <c r="AK675" s="156" t="s">
        <v>347</v>
      </c>
      <c r="AL675" s="70">
        <v>13507408.140000001</v>
      </c>
      <c r="AM675" s="159">
        <v>12.5</v>
      </c>
    </row>
    <row r="676" spans="1:39" s="27" customFormat="1" ht="49.5">
      <c r="A676" s="72" t="s">
        <v>886</v>
      </c>
      <c r="B676" s="72"/>
      <c r="C676" s="72"/>
      <c r="D676" s="72"/>
      <c r="E676" s="120" t="s">
        <v>905</v>
      </c>
      <c r="F676" s="120"/>
      <c r="G676" s="154" t="s">
        <v>506</v>
      </c>
      <c r="H676" s="154" t="s">
        <v>188</v>
      </c>
      <c r="I676" s="154" t="s">
        <v>108</v>
      </c>
      <c r="J676" s="125" t="s">
        <v>186</v>
      </c>
      <c r="K676" s="157" t="s">
        <v>507</v>
      </c>
      <c r="L676" s="179">
        <f t="shared" si="100"/>
        <v>447588</v>
      </c>
      <c r="M676" s="323">
        <v>447588</v>
      </c>
      <c r="N676" s="310"/>
      <c r="O676" s="302"/>
      <c r="P676" s="302"/>
      <c r="Q676" s="302"/>
      <c r="R676" s="68"/>
      <c r="S676" s="68"/>
      <c r="T676" s="68"/>
      <c r="U676" s="68">
        <v>447588</v>
      </c>
      <c r="V676" s="4">
        <v>3</v>
      </c>
      <c r="W676" s="59"/>
      <c r="X676" s="59"/>
      <c r="Y676" s="59"/>
      <c r="Z676" s="59"/>
      <c r="AA676" s="59"/>
      <c r="AB676" s="59">
        <v>447588</v>
      </c>
      <c r="AC676" s="59"/>
      <c r="AD676" s="59"/>
      <c r="AE676" s="59"/>
      <c r="AF676" s="59"/>
      <c r="AG676" s="59"/>
      <c r="AH676" s="59"/>
      <c r="AI676" s="52"/>
      <c r="AJ676" s="39">
        <v>100</v>
      </c>
      <c r="AK676" s="156" t="s">
        <v>271</v>
      </c>
      <c r="AL676" s="70">
        <v>477924</v>
      </c>
      <c r="AM676" s="159">
        <v>7</v>
      </c>
    </row>
    <row r="677" spans="1:39" s="27" customFormat="1" ht="49.5">
      <c r="A677" s="72" t="s">
        <v>886</v>
      </c>
      <c r="B677" s="72"/>
      <c r="C677" s="72"/>
      <c r="D677" s="72"/>
      <c r="E677" s="120" t="s">
        <v>901</v>
      </c>
      <c r="F677" s="120"/>
      <c r="G677" s="154" t="s">
        <v>506</v>
      </c>
      <c r="H677" s="154" t="s">
        <v>188</v>
      </c>
      <c r="I677" s="154" t="s">
        <v>108</v>
      </c>
      <c r="J677" s="125" t="s">
        <v>186</v>
      </c>
      <c r="K677" s="124" t="s">
        <v>1392</v>
      </c>
      <c r="L677" s="179">
        <f t="shared" si="100"/>
        <v>3400000</v>
      </c>
      <c r="M677" s="323">
        <v>3400000</v>
      </c>
      <c r="N677" s="310"/>
      <c r="O677" s="302"/>
      <c r="P677" s="302"/>
      <c r="Q677" s="302"/>
      <c r="R677" s="68"/>
      <c r="S677" s="68"/>
      <c r="T677" s="68"/>
      <c r="U677" s="68">
        <v>100000</v>
      </c>
      <c r="V677" s="4">
        <v>3</v>
      </c>
      <c r="W677" s="3"/>
      <c r="X677" s="3"/>
      <c r="Y677" s="3"/>
      <c r="Z677" s="59"/>
      <c r="AA677" s="59"/>
      <c r="AB677" s="3">
        <v>100000</v>
      </c>
      <c r="AC677" s="3"/>
      <c r="AD677" s="3"/>
      <c r="AE677" s="3"/>
      <c r="AF677" s="3"/>
      <c r="AG677" s="3"/>
      <c r="AH677" s="3"/>
      <c r="AI677" s="52"/>
      <c r="AJ677" s="167">
        <v>55.665689567293462</v>
      </c>
      <c r="AK677" s="156" t="s">
        <v>347</v>
      </c>
      <c r="AL677" s="70">
        <v>7006111</v>
      </c>
      <c r="AM677" s="159">
        <v>1</v>
      </c>
    </row>
    <row r="678" spans="1:39" s="27" customFormat="1" ht="33">
      <c r="A678" s="72" t="s">
        <v>886</v>
      </c>
      <c r="B678" s="72"/>
      <c r="C678" s="72"/>
      <c r="D678" s="72"/>
      <c r="E678" s="120" t="s">
        <v>901</v>
      </c>
      <c r="F678" s="120"/>
      <c r="G678" s="154" t="s">
        <v>506</v>
      </c>
      <c r="H678" s="154" t="s">
        <v>188</v>
      </c>
      <c r="I678" s="154" t="s">
        <v>108</v>
      </c>
      <c r="J678" s="125" t="s">
        <v>186</v>
      </c>
      <c r="K678" s="157" t="s">
        <v>1157</v>
      </c>
      <c r="L678" s="179">
        <f t="shared" si="100"/>
        <v>300000</v>
      </c>
      <c r="M678" s="323">
        <v>300000</v>
      </c>
      <c r="N678" s="310"/>
      <c r="O678" s="326"/>
      <c r="P678" s="326"/>
      <c r="Q678" s="326"/>
      <c r="R678" s="40"/>
      <c r="S678" s="61"/>
      <c r="T678" s="61"/>
      <c r="U678" s="61">
        <v>3400000</v>
      </c>
      <c r="V678" s="4">
        <v>3</v>
      </c>
      <c r="W678" s="3"/>
      <c r="X678" s="3"/>
      <c r="Y678" s="3"/>
      <c r="Z678" s="59"/>
      <c r="AA678" s="59"/>
      <c r="AB678" s="3">
        <v>3900000</v>
      </c>
      <c r="AC678" s="3"/>
      <c r="AD678" s="3"/>
      <c r="AE678" s="3"/>
      <c r="AF678" s="3"/>
      <c r="AG678" s="3"/>
      <c r="AH678" s="3"/>
      <c r="AI678" s="52"/>
      <c r="AJ678" s="39">
        <v>100</v>
      </c>
      <c r="AK678" s="156" t="s">
        <v>271</v>
      </c>
      <c r="AL678" s="70">
        <v>300000</v>
      </c>
      <c r="AM678" s="159">
        <v>90</v>
      </c>
    </row>
    <row r="679" spans="1:39" s="51" customFormat="1" ht="49.5">
      <c r="A679" s="72" t="s">
        <v>886</v>
      </c>
      <c r="B679" s="72"/>
      <c r="C679" s="72"/>
      <c r="D679" s="72"/>
      <c r="E679" s="120" t="s">
        <v>901</v>
      </c>
      <c r="F679" s="120"/>
      <c r="G679" s="154" t="s">
        <v>482</v>
      </c>
      <c r="H679" s="154">
        <v>7340</v>
      </c>
      <c r="I679" s="154" t="s">
        <v>108</v>
      </c>
      <c r="J679" s="125" t="s">
        <v>282</v>
      </c>
      <c r="K679" s="124" t="s">
        <v>1040</v>
      </c>
      <c r="L679" s="179">
        <f t="shared" si="100"/>
        <v>2500000</v>
      </c>
      <c r="M679" s="323">
        <v>2500000</v>
      </c>
      <c r="N679" s="310"/>
      <c r="O679" s="326"/>
      <c r="P679" s="326"/>
      <c r="Q679" s="326"/>
      <c r="R679" s="40"/>
      <c r="S679" s="61"/>
      <c r="T679" s="61"/>
      <c r="U679" s="61">
        <v>500000</v>
      </c>
      <c r="V679" s="4"/>
      <c r="W679" s="59"/>
      <c r="X679" s="59"/>
      <c r="Y679" s="59"/>
      <c r="Z679" s="59"/>
      <c r="AA679" s="59"/>
      <c r="AB679" s="59"/>
      <c r="AC679" s="59"/>
      <c r="AD679" s="59"/>
      <c r="AE679" s="59"/>
      <c r="AF679" s="59"/>
      <c r="AG679" s="59"/>
      <c r="AH679" s="59"/>
      <c r="AI679" s="52"/>
      <c r="AJ679" s="167"/>
      <c r="AK679" s="156">
        <v>2021</v>
      </c>
      <c r="AL679" s="70">
        <v>2907751</v>
      </c>
      <c r="AM679" s="159"/>
    </row>
    <row r="680" spans="1:39" s="27" customFormat="1" ht="33">
      <c r="A680" s="72" t="s">
        <v>886</v>
      </c>
      <c r="B680" s="72"/>
      <c r="C680" s="72"/>
      <c r="D680" s="72"/>
      <c r="E680" s="120" t="s">
        <v>901</v>
      </c>
      <c r="F680" s="120"/>
      <c r="G680" s="154" t="s">
        <v>482</v>
      </c>
      <c r="H680" s="154">
        <v>7340</v>
      </c>
      <c r="I680" s="154" t="s">
        <v>108</v>
      </c>
      <c r="J680" s="125" t="s">
        <v>282</v>
      </c>
      <c r="K680" s="157" t="s">
        <v>483</v>
      </c>
      <c r="L680" s="179">
        <f t="shared" si="100"/>
        <v>1500000</v>
      </c>
      <c r="M680" s="323">
        <v>1500000</v>
      </c>
      <c r="N680" s="310"/>
      <c r="O680" s="302"/>
      <c r="P680" s="302"/>
      <c r="Q680" s="302"/>
      <c r="R680" s="68"/>
      <c r="S680" s="68"/>
      <c r="T680" s="68"/>
      <c r="U680" s="68">
        <v>1500000</v>
      </c>
      <c r="V680" s="4">
        <v>3</v>
      </c>
      <c r="W680" s="3"/>
      <c r="X680" s="71"/>
      <c r="Y680" s="3"/>
      <c r="Z680" s="59"/>
      <c r="AA680" s="59"/>
      <c r="AB680" s="3">
        <v>1500000</v>
      </c>
      <c r="AC680" s="3"/>
      <c r="AD680" s="3"/>
      <c r="AE680" s="3"/>
      <c r="AF680" s="3"/>
      <c r="AG680" s="3"/>
      <c r="AH680" s="3"/>
      <c r="AI680" s="52"/>
      <c r="AJ680" s="39">
        <v>56</v>
      </c>
      <c r="AK680" s="156" t="s">
        <v>347</v>
      </c>
      <c r="AL680" s="70">
        <v>4374744</v>
      </c>
      <c r="AM680" s="159">
        <v>21.6</v>
      </c>
    </row>
    <row r="681" spans="1:39" s="27" customFormat="1" ht="66">
      <c r="A681" s="72" t="s">
        <v>886</v>
      </c>
      <c r="B681" s="72"/>
      <c r="C681" s="72"/>
      <c r="D681" s="72"/>
      <c r="E681" s="120" t="s">
        <v>901</v>
      </c>
      <c r="F681" s="120"/>
      <c r="G681" s="154" t="s">
        <v>482</v>
      </c>
      <c r="H681" s="154">
        <v>7340</v>
      </c>
      <c r="I681" s="154" t="s">
        <v>108</v>
      </c>
      <c r="J681" s="125" t="s">
        <v>282</v>
      </c>
      <c r="K681" s="157" t="s">
        <v>484</v>
      </c>
      <c r="L681" s="179">
        <f t="shared" si="100"/>
        <v>3350000</v>
      </c>
      <c r="M681" s="323">
        <f>2500000+500000+350000</f>
        <v>3350000</v>
      </c>
      <c r="N681" s="310"/>
      <c r="O681" s="302"/>
      <c r="P681" s="302"/>
      <c r="Q681" s="302"/>
      <c r="R681" s="68"/>
      <c r="S681" s="68"/>
      <c r="T681" s="68"/>
      <c r="U681" s="68">
        <v>300000</v>
      </c>
      <c r="V681" s="4">
        <v>1</v>
      </c>
      <c r="W681" s="71"/>
      <c r="X681" s="59">
        <v>300000</v>
      </c>
      <c r="Y681" s="3"/>
      <c r="Z681" s="59"/>
      <c r="AA681" s="59"/>
      <c r="AB681" s="3"/>
      <c r="AC681" s="3"/>
      <c r="AD681" s="3"/>
      <c r="AE681" s="3"/>
      <c r="AF681" s="3"/>
      <c r="AG681" s="3"/>
      <c r="AH681" s="3"/>
      <c r="AI681" s="52"/>
      <c r="AJ681" s="167">
        <v>52.32</v>
      </c>
      <c r="AK681" s="156" t="s">
        <v>346</v>
      </c>
      <c r="AL681" s="70">
        <v>9519914</v>
      </c>
      <c r="AM681" s="159">
        <v>26.05</v>
      </c>
    </row>
    <row r="682" spans="1:39" s="27" customFormat="1" ht="49.5">
      <c r="A682" s="72" t="s">
        <v>886</v>
      </c>
      <c r="B682" s="72"/>
      <c r="C682" s="72"/>
      <c r="D682" s="72"/>
      <c r="E682" s="120" t="s">
        <v>901</v>
      </c>
      <c r="F682" s="120"/>
      <c r="G682" s="154" t="s">
        <v>482</v>
      </c>
      <c r="H682" s="154">
        <v>7340</v>
      </c>
      <c r="I682" s="154" t="s">
        <v>108</v>
      </c>
      <c r="J682" s="125" t="s">
        <v>282</v>
      </c>
      <c r="K682" s="157" t="s">
        <v>485</v>
      </c>
      <c r="L682" s="179">
        <f t="shared" si="100"/>
        <v>200000</v>
      </c>
      <c r="M682" s="323">
        <v>200000</v>
      </c>
      <c r="N682" s="310"/>
      <c r="O682" s="302"/>
      <c r="P682" s="302"/>
      <c r="Q682" s="302"/>
      <c r="R682" s="68"/>
      <c r="S682" s="68"/>
      <c r="T682" s="68"/>
      <c r="U682" s="68">
        <v>2311000</v>
      </c>
      <c r="V682" s="4">
        <v>3</v>
      </c>
      <c r="W682" s="59"/>
      <c r="X682" s="71"/>
      <c r="Y682" s="3"/>
      <c r="Z682" s="59"/>
      <c r="AA682" s="59"/>
      <c r="AB682" s="3">
        <v>2311000</v>
      </c>
      <c r="AC682" s="3"/>
      <c r="AD682" s="3"/>
      <c r="AE682" s="3"/>
      <c r="AF682" s="3"/>
      <c r="AG682" s="3"/>
      <c r="AH682" s="3"/>
      <c r="AI682" s="52"/>
      <c r="AJ682" s="39">
        <v>42</v>
      </c>
      <c r="AK682" s="156" t="s">
        <v>347</v>
      </c>
      <c r="AL682" s="70">
        <v>1437296</v>
      </c>
      <c r="AM682" s="159">
        <v>27.94</v>
      </c>
    </row>
    <row r="683" spans="1:39" s="27" customFormat="1" ht="33">
      <c r="A683" s="72" t="s">
        <v>886</v>
      </c>
      <c r="B683" s="72"/>
      <c r="C683" s="72"/>
      <c r="D683" s="72"/>
      <c r="E683" s="120" t="s">
        <v>901</v>
      </c>
      <c r="F683" s="120"/>
      <c r="G683" s="154" t="s">
        <v>482</v>
      </c>
      <c r="H683" s="154">
        <v>7340</v>
      </c>
      <c r="I683" s="154" t="s">
        <v>108</v>
      </c>
      <c r="J683" s="125" t="s">
        <v>282</v>
      </c>
      <c r="K683" s="157" t="s">
        <v>486</v>
      </c>
      <c r="L683" s="179">
        <f t="shared" si="100"/>
        <v>500000</v>
      </c>
      <c r="M683" s="323">
        <v>500000</v>
      </c>
      <c r="N683" s="310"/>
      <c r="O683" s="302"/>
      <c r="P683" s="302"/>
      <c r="Q683" s="302"/>
      <c r="R683" s="68"/>
      <c r="S683" s="68"/>
      <c r="T683" s="68"/>
      <c r="U683" s="68">
        <v>1500000</v>
      </c>
      <c r="V683" s="26">
        <v>1.2</v>
      </c>
      <c r="W683" s="71"/>
      <c r="X683" s="67">
        <v>320000</v>
      </c>
      <c r="Y683" s="67" t="e">
        <f>#REF!-X683</f>
        <v>#REF!</v>
      </c>
      <c r="Z683" s="67"/>
      <c r="AA683" s="67"/>
      <c r="AB683" s="67"/>
      <c r="AC683" s="67"/>
      <c r="AD683" s="67"/>
      <c r="AE683" s="67"/>
      <c r="AF683" s="67"/>
      <c r="AG683" s="67"/>
      <c r="AH683" s="67"/>
      <c r="AI683" s="52"/>
      <c r="AJ683" s="39">
        <v>23</v>
      </c>
      <c r="AK683" s="156" t="s">
        <v>346</v>
      </c>
      <c r="AL683" s="70">
        <v>2657567</v>
      </c>
      <c r="AM683" s="159">
        <v>3.8</v>
      </c>
    </row>
    <row r="684" spans="1:39" s="27" customFormat="1" ht="49.5">
      <c r="A684" s="72" t="s">
        <v>886</v>
      </c>
      <c r="B684" s="72"/>
      <c r="C684" s="72"/>
      <c r="D684" s="72"/>
      <c r="E684" s="120" t="s">
        <v>901</v>
      </c>
      <c r="F684" s="120"/>
      <c r="G684" s="154" t="s">
        <v>482</v>
      </c>
      <c r="H684" s="154">
        <v>7340</v>
      </c>
      <c r="I684" s="154" t="s">
        <v>108</v>
      </c>
      <c r="J684" s="125" t="s">
        <v>282</v>
      </c>
      <c r="K684" s="157" t="s">
        <v>487</v>
      </c>
      <c r="L684" s="179">
        <f t="shared" si="100"/>
        <v>6525933</v>
      </c>
      <c r="M684" s="323">
        <v>6525933</v>
      </c>
      <c r="N684" s="310"/>
      <c r="O684" s="302"/>
      <c r="P684" s="302"/>
      <c r="Q684" s="302"/>
      <c r="R684" s="68"/>
      <c r="S684" s="68"/>
      <c r="T684" s="68"/>
      <c r="U684" s="68">
        <v>2500000</v>
      </c>
      <c r="V684" s="26">
        <v>2</v>
      </c>
      <c r="W684" s="67"/>
      <c r="X684" s="71"/>
      <c r="Y684" s="19">
        <v>2500000</v>
      </c>
      <c r="Z684" s="52"/>
      <c r="AA684" s="52"/>
      <c r="AB684" s="19"/>
      <c r="AC684" s="19"/>
      <c r="AD684" s="19"/>
      <c r="AE684" s="19"/>
      <c r="AF684" s="19"/>
      <c r="AG684" s="19"/>
      <c r="AH684" s="19"/>
      <c r="AI684" s="52"/>
      <c r="AJ684" s="39">
        <v>100</v>
      </c>
      <c r="AK684" s="156" t="s">
        <v>347</v>
      </c>
      <c r="AL684" s="70">
        <v>7936287.4000000004</v>
      </c>
      <c r="AM684" s="159">
        <v>17.77</v>
      </c>
    </row>
    <row r="685" spans="1:39" s="27" customFormat="1" ht="49.5">
      <c r="A685" s="72" t="s">
        <v>886</v>
      </c>
      <c r="B685" s="72"/>
      <c r="C685" s="72"/>
      <c r="D685" s="72"/>
      <c r="E685" s="120" t="s">
        <v>901</v>
      </c>
      <c r="F685" s="120"/>
      <c r="G685" s="154" t="s">
        <v>482</v>
      </c>
      <c r="H685" s="154">
        <v>7340</v>
      </c>
      <c r="I685" s="154" t="s">
        <v>108</v>
      </c>
      <c r="J685" s="125" t="s">
        <v>282</v>
      </c>
      <c r="K685" s="157" t="s">
        <v>488</v>
      </c>
      <c r="L685" s="179">
        <f t="shared" si="100"/>
        <v>980051</v>
      </c>
      <c r="M685" s="323">
        <v>980051</v>
      </c>
      <c r="N685" s="310"/>
      <c r="O685" s="302"/>
      <c r="P685" s="302"/>
      <c r="Q685" s="302"/>
      <c r="R685" s="68"/>
      <c r="S685" s="68"/>
      <c r="T685" s="68"/>
      <c r="U685" s="68">
        <v>200000</v>
      </c>
      <c r="V685" s="26">
        <v>1.2</v>
      </c>
      <c r="W685" s="19"/>
      <c r="X685" s="67">
        <v>175000</v>
      </c>
      <c r="Y685" s="19" t="e">
        <f>#REF!-X685</f>
        <v>#REF!</v>
      </c>
      <c r="Z685" s="52"/>
      <c r="AA685" s="52"/>
      <c r="AB685" s="19"/>
      <c r="AC685" s="19"/>
      <c r="AD685" s="19"/>
      <c r="AE685" s="19"/>
      <c r="AF685" s="19"/>
      <c r="AG685" s="19"/>
      <c r="AH685" s="19"/>
      <c r="AI685" s="52"/>
      <c r="AJ685" s="39">
        <v>90</v>
      </c>
      <c r="AK685" s="156" t="s">
        <v>346</v>
      </c>
      <c r="AL685" s="70">
        <v>1033631</v>
      </c>
      <c r="AM685" s="159">
        <v>5.18</v>
      </c>
    </row>
    <row r="686" spans="1:39" s="27" customFormat="1" ht="66">
      <c r="A686" s="72" t="s">
        <v>886</v>
      </c>
      <c r="B686" s="72"/>
      <c r="C686" s="72"/>
      <c r="D686" s="72"/>
      <c r="E686" s="120" t="s">
        <v>901</v>
      </c>
      <c r="F686" s="120"/>
      <c r="G686" s="154" t="s">
        <v>482</v>
      </c>
      <c r="H686" s="154">
        <v>7340</v>
      </c>
      <c r="I686" s="154" t="s">
        <v>108</v>
      </c>
      <c r="J686" s="125" t="s">
        <v>282</v>
      </c>
      <c r="K686" s="157" t="s">
        <v>489</v>
      </c>
      <c r="L686" s="179">
        <f t="shared" si="100"/>
        <v>1551256</v>
      </c>
      <c r="M686" s="323">
        <v>1551256</v>
      </c>
      <c r="N686" s="310"/>
      <c r="O686" s="302"/>
      <c r="P686" s="302"/>
      <c r="Q686" s="302"/>
      <c r="R686" s="68"/>
      <c r="S686" s="68"/>
      <c r="T686" s="68"/>
      <c r="U686" s="68">
        <v>500000</v>
      </c>
      <c r="V686" s="26">
        <v>2</v>
      </c>
      <c r="W686" s="19"/>
      <c r="X686" s="19"/>
      <c r="Y686" s="19">
        <v>500000</v>
      </c>
      <c r="Z686" s="52"/>
      <c r="AA686" s="52"/>
      <c r="AB686" s="19"/>
      <c r="AC686" s="19"/>
      <c r="AD686" s="19"/>
      <c r="AE686" s="19"/>
      <c r="AF686" s="19"/>
      <c r="AG686" s="19"/>
      <c r="AH686" s="19"/>
      <c r="AI686" s="52"/>
      <c r="AJ686" s="39">
        <v>100</v>
      </c>
      <c r="AK686" s="156" t="s">
        <v>347</v>
      </c>
      <c r="AL686" s="70">
        <v>1834676</v>
      </c>
      <c r="AM686" s="159">
        <v>15.45</v>
      </c>
    </row>
    <row r="687" spans="1:39" s="27" customFormat="1" ht="49.5">
      <c r="A687" s="72" t="s">
        <v>886</v>
      </c>
      <c r="B687" s="72"/>
      <c r="C687" s="72"/>
      <c r="D687" s="72"/>
      <c r="E687" s="120" t="s">
        <v>901</v>
      </c>
      <c r="F687" s="120"/>
      <c r="G687" s="154" t="s">
        <v>482</v>
      </c>
      <c r="H687" s="154">
        <v>7340</v>
      </c>
      <c r="I687" s="154" t="s">
        <v>108</v>
      </c>
      <c r="J687" s="125" t="s">
        <v>282</v>
      </c>
      <c r="K687" s="157" t="s">
        <v>490</v>
      </c>
      <c r="L687" s="179">
        <f t="shared" si="100"/>
        <v>1131731</v>
      </c>
      <c r="M687" s="323">
        <v>1131731</v>
      </c>
      <c r="N687" s="310"/>
      <c r="O687" s="302"/>
      <c r="P687" s="302"/>
      <c r="Q687" s="302"/>
      <c r="R687" s="68"/>
      <c r="S687" s="68"/>
      <c r="T687" s="68"/>
      <c r="U687" s="68">
        <v>6525933</v>
      </c>
      <c r="V687" s="4">
        <v>1.2</v>
      </c>
      <c r="W687" s="59"/>
      <c r="X687" s="19">
        <v>499000</v>
      </c>
      <c r="Y687" s="19" t="e">
        <f>#REF!-X687</f>
        <v>#REF!</v>
      </c>
      <c r="Z687" s="52"/>
      <c r="AA687" s="52"/>
      <c r="AB687" s="59"/>
      <c r="AC687" s="59"/>
      <c r="AD687" s="59"/>
      <c r="AE687" s="59"/>
      <c r="AF687" s="59"/>
      <c r="AG687" s="59"/>
      <c r="AH687" s="59"/>
      <c r="AI687" s="52"/>
      <c r="AJ687" s="39">
        <v>100</v>
      </c>
      <c r="AK687" s="156" t="s">
        <v>347</v>
      </c>
      <c r="AL687" s="70">
        <v>1201508</v>
      </c>
      <c r="AM687" s="159">
        <v>5.81</v>
      </c>
    </row>
    <row r="688" spans="1:39" s="27" customFormat="1" ht="49.5">
      <c r="A688" s="72" t="s">
        <v>886</v>
      </c>
      <c r="B688" s="72"/>
      <c r="C688" s="72"/>
      <c r="D688" s="72"/>
      <c r="E688" s="120" t="s">
        <v>901</v>
      </c>
      <c r="F688" s="120"/>
      <c r="G688" s="154" t="s">
        <v>482</v>
      </c>
      <c r="H688" s="154">
        <v>7340</v>
      </c>
      <c r="I688" s="154" t="s">
        <v>108</v>
      </c>
      <c r="J688" s="125" t="s">
        <v>282</v>
      </c>
      <c r="K688" s="157" t="s">
        <v>938</v>
      </c>
      <c r="L688" s="179">
        <f t="shared" si="100"/>
        <v>2440863</v>
      </c>
      <c r="M688" s="323">
        <v>2440863</v>
      </c>
      <c r="N688" s="310"/>
      <c r="O688" s="302"/>
      <c r="P688" s="302"/>
      <c r="Q688" s="302"/>
      <c r="R688" s="68"/>
      <c r="S688" s="68"/>
      <c r="T688" s="68"/>
      <c r="U688" s="68">
        <v>980051</v>
      </c>
      <c r="V688" s="4">
        <v>2</v>
      </c>
      <c r="W688" s="3"/>
      <c r="X688" s="19"/>
      <c r="Y688" s="19">
        <v>980051</v>
      </c>
      <c r="Z688" s="52"/>
      <c r="AA688" s="52"/>
      <c r="AB688" s="3"/>
      <c r="AC688" s="3"/>
      <c r="AD688" s="3"/>
      <c r="AE688" s="3"/>
      <c r="AF688" s="3"/>
      <c r="AG688" s="3"/>
      <c r="AH688" s="3"/>
      <c r="AI688" s="52"/>
      <c r="AJ688" s="39">
        <v>100</v>
      </c>
      <c r="AK688" s="156" t="s">
        <v>271</v>
      </c>
      <c r="AL688" s="70">
        <v>3794240</v>
      </c>
      <c r="AM688" s="159">
        <v>35.67</v>
      </c>
    </row>
    <row r="689" spans="1:39" s="27" customFormat="1" ht="66">
      <c r="A689" s="72" t="s">
        <v>886</v>
      </c>
      <c r="B689" s="72"/>
      <c r="C689" s="72"/>
      <c r="D689" s="72"/>
      <c r="E689" s="120" t="s">
        <v>903</v>
      </c>
      <c r="F689" s="120"/>
      <c r="G689" s="154" t="s">
        <v>482</v>
      </c>
      <c r="H689" s="154">
        <v>7340</v>
      </c>
      <c r="I689" s="154" t="s">
        <v>108</v>
      </c>
      <c r="J689" s="125" t="s">
        <v>282</v>
      </c>
      <c r="K689" s="157" t="s">
        <v>491</v>
      </c>
      <c r="L689" s="179">
        <f t="shared" si="100"/>
        <v>386014</v>
      </c>
      <c r="M689" s="323">
        <v>386014</v>
      </c>
      <c r="N689" s="310"/>
      <c r="O689" s="302"/>
      <c r="P689" s="302"/>
      <c r="Q689" s="302"/>
      <c r="R689" s="68"/>
      <c r="S689" s="68"/>
      <c r="T689" s="68"/>
      <c r="U689" s="68">
        <v>1551256</v>
      </c>
      <c r="V689" s="4">
        <v>2</v>
      </c>
      <c r="W689" s="3"/>
      <c r="X689" s="59">
        <v>265000</v>
      </c>
      <c r="Y689" s="19" t="e">
        <f>#REF!-X689</f>
        <v>#REF!</v>
      </c>
      <c r="Z689" s="52"/>
      <c r="AA689" s="52"/>
      <c r="AB689" s="3"/>
      <c r="AC689" s="3"/>
      <c r="AD689" s="3"/>
      <c r="AE689" s="3"/>
      <c r="AF689" s="3"/>
      <c r="AG689" s="3"/>
      <c r="AH689" s="3"/>
      <c r="AI689" s="52"/>
      <c r="AJ689" s="39">
        <v>100</v>
      </c>
      <c r="AK689" s="156" t="s">
        <v>346</v>
      </c>
      <c r="AL689" s="70">
        <v>3855452</v>
      </c>
      <c r="AM689" s="159">
        <v>90</v>
      </c>
    </row>
    <row r="690" spans="1:39" s="27" customFormat="1" ht="49.5">
      <c r="A690" s="72" t="s">
        <v>886</v>
      </c>
      <c r="B690" s="72"/>
      <c r="C690" s="72"/>
      <c r="D690" s="72"/>
      <c r="E690" s="120" t="s">
        <v>901</v>
      </c>
      <c r="F690" s="120"/>
      <c r="G690" s="154" t="s">
        <v>482</v>
      </c>
      <c r="H690" s="154">
        <v>7340</v>
      </c>
      <c r="I690" s="154" t="s">
        <v>108</v>
      </c>
      <c r="J690" s="125" t="s">
        <v>282</v>
      </c>
      <c r="K690" s="157" t="s">
        <v>492</v>
      </c>
      <c r="L690" s="179">
        <f t="shared" si="100"/>
        <v>3498167</v>
      </c>
      <c r="M690" s="323">
        <v>3498167</v>
      </c>
      <c r="N690" s="310"/>
      <c r="O690" s="302"/>
      <c r="P690" s="302"/>
      <c r="Q690" s="302"/>
      <c r="R690" s="68"/>
      <c r="S690" s="68"/>
      <c r="T690" s="68"/>
      <c r="U690" s="68">
        <v>200000</v>
      </c>
      <c r="V690" s="4">
        <v>2</v>
      </c>
      <c r="W690" s="3"/>
      <c r="X690" s="67"/>
      <c r="Y690" s="19">
        <v>200000</v>
      </c>
      <c r="Z690" s="52"/>
      <c r="AA690" s="52"/>
      <c r="AB690" s="3"/>
      <c r="AC690" s="3"/>
      <c r="AD690" s="3"/>
      <c r="AE690" s="3"/>
      <c r="AF690" s="3"/>
      <c r="AG690" s="3"/>
      <c r="AH690" s="3"/>
      <c r="AI690" s="52"/>
      <c r="AJ690" s="39">
        <v>100</v>
      </c>
      <c r="AK690" s="156" t="s">
        <v>346</v>
      </c>
      <c r="AL690" s="70">
        <v>4391641</v>
      </c>
      <c r="AM690" s="159">
        <v>20.34</v>
      </c>
    </row>
    <row r="691" spans="1:39" s="27" customFormat="1" ht="49.5">
      <c r="A691" s="72" t="s">
        <v>886</v>
      </c>
      <c r="B691" s="72"/>
      <c r="C691" s="72"/>
      <c r="D691" s="72"/>
      <c r="E691" s="120" t="s">
        <v>901</v>
      </c>
      <c r="F691" s="120"/>
      <c r="G691" s="154" t="s">
        <v>482</v>
      </c>
      <c r="H691" s="154">
        <v>7340</v>
      </c>
      <c r="I691" s="154" t="s">
        <v>108</v>
      </c>
      <c r="J691" s="125" t="s">
        <v>282</v>
      </c>
      <c r="K691" s="157" t="s">
        <v>493</v>
      </c>
      <c r="L691" s="179">
        <f t="shared" si="100"/>
        <v>23403</v>
      </c>
      <c r="M691" s="323">
        <v>23403</v>
      </c>
      <c r="N691" s="310"/>
      <c r="O691" s="302"/>
      <c r="P691" s="302"/>
      <c r="Q691" s="302"/>
      <c r="R691" s="68"/>
      <c r="S691" s="68"/>
      <c r="T691" s="68"/>
      <c r="U691" s="68">
        <v>450000</v>
      </c>
      <c r="V691" s="4">
        <v>2</v>
      </c>
      <c r="W691" s="3"/>
      <c r="X691" s="19"/>
      <c r="Y691" s="19">
        <v>450000</v>
      </c>
      <c r="Z691" s="52"/>
      <c r="AA691" s="52"/>
      <c r="AB691" s="3"/>
      <c r="AC691" s="3"/>
      <c r="AD691" s="3"/>
      <c r="AE691" s="3"/>
      <c r="AF691" s="3"/>
      <c r="AG691" s="3"/>
      <c r="AH691" s="3"/>
      <c r="AI691" s="52"/>
      <c r="AJ691" s="39">
        <v>100</v>
      </c>
      <c r="AK691" s="156" t="s">
        <v>346</v>
      </c>
      <c r="AL691" s="70">
        <v>2118913</v>
      </c>
      <c r="AM691" s="159">
        <v>99</v>
      </c>
    </row>
    <row r="692" spans="1:39" s="27" customFormat="1" ht="49.5">
      <c r="A692" s="72" t="s">
        <v>886</v>
      </c>
      <c r="B692" s="72"/>
      <c r="C692" s="72"/>
      <c r="D692" s="72"/>
      <c r="E692" s="120" t="s">
        <v>901</v>
      </c>
      <c r="F692" s="120"/>
      <c r="G692" s="154" t="s">
        <v>482</v>
      </c>
      <c r="H692" s="154">
        <v>7340</v>
      </c>
      <c r="I692" s="154" t="s">
        <v>108</v>
      </c>
      <c r="J692" s="125" t="s">
        <v>282</v>
      </c>
      <c r="K692" s="157" t="s">
        <v>494</v>
      </c>
      <c r="L692" s="179">
        <f t="shared" si="100"/>
        <v>29342</v>
      </c>
      <c r="M692" s="323">
        <v>29342</v>
      </c>
      <c r="N692" s="310"/>
      <c r="O692" s="302"/>
      <c r="P692" s="302"/>
      <c r="Q692" s="302"/>
      <c r="R692" s="68"/>
      <c r="S692" s="68"/>
      <c r="T692" s="68"/>
      <c r="U692" s="68">
        <v>1131731</v>
      </c>
      <c r="V692" s="4">
        <v>2</v>
      </c>
      <c r="W692" s="3"/>
      <c r="X692" s="19"/>
      <c r="Y692" s="19">
        <v>1131731</v>
      </c>
      <c r="Z692" s="52"/>
      <c r="AA692" s="52"/>
      <c r="AB692" s="3"/>
      <c r="AC692" s="3"/>
      <c r="AD692" s="3"/>
      <c r="AE692" s="3"/>
      <c r="AF692" s="3"/>
      <c r="AG692" s="3"/>
      <c r="AH692" s="3"/>
      <c r="AI692" s="52"/>
      <c r="AJ692" s="39">
        <v>100</v>
      </c>
      <c r="AK692" s="156" t="s">
        <v>346</v>
      </c>
      <c r="AL692" s="70">
        <v>821371</v>
      </c>
      <c r="AM692" s="159">
        <v>96</v>
      </c>
    </row>
    <row r="693" spans="1:39" s="27" customFormat="1" ht="49.5">
      <c r="A693" s="72" t="s">
        <v>886</v>
      </c>
      <c r="B693" s="72"/>
      <c r="C693" s="72"/>
      <c r="D693" s="72"/>
      <c r="E693" s="120" t="s">
        <v>901</v>
      </c>
      <c r="F693" s="120"/>
      <c r="G693" s="154" t="s">
        <v>482</v>
      </c>
      <c r="H693" s="154">
        <v>7340</v>
      </c>
      <c r="I693" s="154" t="s">
        <v>108</v>
      </c>
      <c r="J693" s="125" t="s">
        <v>282</v>
      </c>
      <c r="K693" s="157" t="s">
        <v>495</v>
      </c>
      <c r="L693" s="179">
        <f t="shared" si="100"/>
        <v>304072</v>
      </c>
      <c r="M693" s="323">
        <v>304072</v>
      </c>
      <c r="N693" s="310"/>
      <c r="O693" s="302"/>
      <c r="P693" s="302"/>
      <c r="Q693" s="302"/>
      <c r="R693" s="68"/>
      <c r="S693" s="68"/>
      <c r="T693" s="68"/>
      <c r="U693" s="68">
        <v>2440863</v>
      </c>
      <c r="V693" s="4">
        <v>2</v>
      </c>
      <c r="W693" s="3"/>
      <c r="X693" s="71"/>
      <c r="Y693" s="59">
        <v>2440863</v>
      </c>
      <c r="Z693" s="59"/>
      <c r="AA693" s="59"/>
      <c r="AB693" s="3"/>
      <c r="AC693" s="3"/>
      <c r="AD693" s="3"/>
      <c r="AE693" s="3"/>
      <c r="AF693" s="3"/>
      <c r="AG693" s="3"/>
      <c r="AH693" s="3"/>
      <c r="AI693" s="52"/>
      <c r="AJ693" s="39">
        <v>100</v>
      </c>
      <c r="AK693" s="156" t="s">
        <v>346</v>
      </c>
      <c r="AL693" s="70">
        <v>2778630</v>
      </c>
      <c r="AM693" s="159">
        <v>95</v>
      </c>
    </row>
    <row r="694" spans="1:39" s="27" customFormat="1" ht="49.5">
      <c r="A694" s="72" t="s">
        <v>886</v>
      </c>
      <c r="B694" s="72"/>
      <c r="C694" s="72"/>
      <c r="D694" s="72"/>
      <c r="E694" s="120" t="s">
        <v>903</v>
      </c>
      <c r="F694" s="120"/>
      <c r="G694" s="154" t="s">
        <v>482</v>
      </c>
      <c r="H694" s="154">
        <v>7340</v>
      </c>
      <c r="I694" s="154" t="s">
        <v>108</v>
      </c>
      <c r="J694" s="125" t="s">
        <v>282</v>
      </c>
      <c r="K694" s="157" t="s">
        <v>496</v>
      </c>
      <c r="L694" s="179">
        <f t="shared" si="100"/>
        <v>24490</v>
      </c>
      <c r="M694" s="323">
        <v>24490</v>
      </c>
      <c r="N694" s="310"/>
      <c r="O694" s="302"/>
      <c r="P694" s="302"/>
      <c r="Q694" s="302"/>
      <c r="R694" s="68"/>
      <c r="S694" s="68"/>
      <c r="T694" s="68"/>
      <c r="U694" s="68">
        <v>386014</v>
      </c>
      <c r="V694" s="4">
        <v>1</v>
      </c>
      <c r="W694" s="3"/>
      <c r="X694" s="68">
        <v>386014</v>
      </c>
      <c r="Y694" s="3"/>
      <c r="Z694" s="59"/>
      <c r="AA694" s="59"/>
      <c r="AB694" s="3"/>
      <c r="AC694" s="3"/>
      <c r="AD694" s="3"/>
      <c r="AE694" s="3"/>
      <c r="AF694" s="3"/>
      <c r="AG694" s="3"/>
      <c r="AH694" s="3"/>
      <c r="AI694" s="52"/>
      <c r="AJ694" s="39">
        <v>100</v>
      </c>
      <c r="AK694" s="156" t="s">
        <v>346</v>
      </c>
      <c r="AL694" s="70">
        <v>576033</v>
      </c>
      <c r="AM694" s="159">
        <v>96</v>
      </c>
    </row>
    <row r="695" spans="1:39" s="27" customFormat="1" ht="49.5">
      <c r="A695" s="72" t="s">
        <v>886</v>
      </c>
      <c r="B695" s="72"/>
      <c r="C695" s="72"/>
      <c r="D695" s="72"/>
      <c r="E695" s="120" t="s">
        <v>901</v>
      </c>
      <c r="F695" s="120"/>
      <c r="G695" s="154" t="s">
        <v>482</v>
      </c>
      <c r="H695" s="154">
        <v>7340</v>
      </c>
      <c r="I695" s="154" t="s">
        <v>108</v>
      </c>
      <c r="J695" s="125" t="s">
        <v>282</v>
      </c>
      <c r="K695" s="157" t="s">
        <v>497</v>
      </c>
      <c r="L695" s="179">
        <f t="shared" si="100"/>
        <v>154348</v>
      </c>
      <c r="M695" s="323">
        <v>154348</v>
      </c>
      <c r="N695" s="310"/>
      <c r="O695" s="302"/>
      <c r="P695" s="302"/>
      <c r="Q695" s="302"/>
      <c r="R695" s="68"/>
      <c r="S695" s="68"/>
      <c r="T695" s="68"/>
      <c r="U695" s="68">
        <v>3498167</v>
      </c>
      <c r="V695" s="4" t="s">
        <v>276</v>
      </c>
      <c r="W695" s="3"/>
      <c r="X695" s="59">
        <v>30000</v>
      </c>
      <c r="Y695" s="3" t="e">
        <f>#REF!-X695</f>
        <v>#REF!</v>
      </c>
      <c r="Z695" s="59"/>
      <c r="AA695" s="59"/>
      <c r="AB695" s="3"/>
      <c r="AC695" s="3"/>
      <c r="AD695" s="3"/>
      <c r="AE695" s="3"/>
      <c r="AF695" s="3"/>
      <c r="AG695" s="3"/>
      <c r="AH695" s="3"/>
      <c r="AI695" s="52"/>
      <c r="AJ695" s="39">
        <v>100</v>
      </c>
      <c r="AK695" s="156" t="s">
        <v>346</v>
      </c>
      <c r="AL695" s="70">
        <v>802073</v>
      </c>
      <c r="AM695" s="159">
        <v>81</v>
      </c>
    </row>
    <row r="696" spans="1:39" s="27" customFormat="1" ht="49.5">
      <c r="A696" s="72" t="s">
        <v>886</v>
      </c>
      <c r="B696" s="72"/>
      <c r="C696" s="72"/>
      <c r="D696" s="72"/>
      <c r="E696" s="120" t="s">
        <v>901</v>
      </c>
      <c r="F696" s="120"/>
      <c r="G696" s="154" t="s">
        <v>482</v>
      </c>
      <c r="H696" s="154">
        <v>7340</v>
      </c>
      <c r="I696" s="154" t="s">
        <v>108</v>
      </c>
      <c r="J696" s="125" t="s">
        <v>282</v>
      </c>
      <c r="K696" s="157" t="s">
        <v>498</v>
      </c>
      <c r="L696" s="179">
        <f t="shared" si="100"/>
        <v>343833</v>
      </c>
      <c r="M696" s="323">
        <v>343833</v>
      </c>
      <c r="N696" s="310"/>
      <c r="O696" s="302"/>
      <c r="P696" s="302"/>
      <c r="Q696" s="302"/>
      <c r="R696" s="68"/>
      <c r="S696" s="68"/>
      <c r="T696" s="68"/>
      <c r="U696" s="68">
        <v>23403</v>
      </c>
      <c r="V696" s="4">
        <v>1</v>
      </c>
      <c r="W696" s="3"/>
      <c r="X696" s="3">
        <v>23403</v>
      </c>
      <c r="Y696" s="3"/>
      <c r="Z696" s="59"/>
      <c r="AA696" s="59"/>
      <c r="AB696" s="3"/>
      <c r="AC696" s="3"/>
      <c r="AD696" s="3"/>
      <c r="AE696" s="3"/>
      <c r="AF696" s="3"/>
      <c r="AG696" s="3"/>
      <c r="AH696" s="3"/>
      <c r="AI696" s="52"/>
      <c r="AJ696" s="39">
        <v>100</v>
      </c>
      <c r="AK696" s="156" t="s">
        <v>347</v>
      </c>
      <c r="AL696" s="70">
        <v>512622</v>
      </c>
      <c r="AM696" s="159">
        <v>90</v>
      </c>
    </row>
    <row r="697" spans="1:39" s="27" customFormat="1" ht="49.5">
      <c r="A697" s="72" t="s">
        <v>886</v>
      </c>
      <c r="B697" s="72"/>
      <c r="C697" s="72"/>
      <c r="D697" s="72"/>
      <c r="E697" s="120" t="s">
        <v>901</v>
      </c>
      <c r="F697" s="120"/>
      <c r="G697" s="154" t="s">
        <v>482</v>
      </c>
      <c r="H697" s="154">
        <v>7340</v>
      </c>
      <c r="I697" s="154" t="s">
        <v>108</v>
      </c>
      <c r="J697" s="125" t="s">
        <v>282</v>
      </c>
      <c r="K697" s="157" t="s">
        <v>499</v>
      </c>
      <c r="L697" s="179">
        <f t="shared" si="100"/>
        <v>277183</v>
      </c>
      <c r="M697" s="323">
        <v>277183</v>
      </c>
      <c r="N697" s="310"/>
      <c r="O697" s="302"/>
      <c r="P697" s="302"/>
      <c r="Q697" s="302"/>
      <c r="R697" s="68"/>
      <c r="S697" s="68"/>
      <c r="T697" s="68"/>
      <c r="U697" s="68">
        <v>29342</v>
      </c>
      <c r="V697" s="4">
        <v>1</v>
      </c>
      <c r="W697" s="3"/>
      <c r="X697" s="3">
        <v>29342</v>
      </c>
      <c r="Y697" s="3"/>
      <c r="Z697" s="59"/>
      <c r="AA697" s="59"/>
      <c r="AB697" s="3"/>
      <c r="AC697" s="3"/>
      <c r="AD697" s="3"/>
      <c r="AE697" s="3"/>
      <c r="AF697" s="3"/>
      <c r="AG697" s="3"/>
      <c r="AH697" s="3"/>
      <c r="AI697" s="52"/>
      <c r="AJ697" s="39">
        <v>100</v>
      </c>
      <c r="AK697" s="156" t="s">
        <v>347</v>
      </c>
      <c r="AL697" s="70">
        <v>492231</v>
      </c>
      <c r="AM697" s="159">
        <v>90</v>
      </c>
    </row>
    <row r="698" spans="1:39" s="27" customFormat="1" ht="33">
      <c r="A698" s="72" t="s">
        <v>886</v>
      </c>
      <c r="B698" s="72"/>
      <c r="C698" s="72"/>
      <c r="D698" s="72"/>
      <c r="E698" s="120" t="s">
        <v>901</v>
      </c>
      <c r="F698" s="120"/>
      <c r="G698" s="154" t="s">
        <v>482</v>
      </c>
      <c r="H698" s="154">
        <v>7340</v>
      </c>
      <c r="I698" s="154" t="s">
        <v>108</v>
      </c>
      <c r="J698" s="125" t="s">
        <v>282</v>
      </c>
      <c r="K698" s="157" t="s">
        <v>500</v>
      </c>
      <c r="L698" s="179">
        <f t="shared" si="100"/>
        <v>1613504</v>
      </c>
      <c r="M698" s="323">
        <v>1613504</v>
      </c>
      <c r="N698" s="310"/>
      <c r="O698" s="302"/>
      <c r="P698" s="302"/>
      <c r="Q698" s="302"/>
      <c r="R698" s="68"/>
      <c r="S698" s="68"/>
      <c r="T698" s="68"/>
      <c r="U698" s="68">
        <v>304072</v>
      </c>
      <c r="V698" s="4">
        <v>1</v>
      </c>
      <c r="W698" s="3"/>
      <c r="X698" s="3">
        <v>304072</v>
      </c>
      <c r="Y698" s="3"/>
      <c r="Z698" s="59"/>
      <c r="AA698" s="59"/>
      <c r="AB698" s="3"/>
      <c r="AC698" s="3"/>
      <c r="AD698" s="3"/>
      <c r="AE698" s="3"/>
      <c r="AF698" s="3"/>
      <c r="AG698" s="3"/>
      <c r="AH698" s="3"/>
      <c r="AI698" s="52"/>
      <c r="AJ698" s="39">
        <v>100</v>
      </c>
      <c r="AK698" s="156" t="s">
        <v>346</v>
      </c>
      <c r="AL698" s="70">
        <v>8190101</v>
      </c>
      <c r="AM698" s="159">
        <v>80</v>
      </c>
    </row>
    <row r="699" spans="1:39" s="27" customFormat="1" ht="49.5">
      <c r="A699" s="72" t="s">
        <v>886</v>
      </c>
      <c r="B699" s="72"/>
      <c r="C699" s="72"/>
      <c r="D699" s="72"/>
      <c r="E699" s="120" t="s">
        <v>901</v>
      </c>
      <c r="F699" s="120"/>
      <c r="G699" s="154" t="s">
        <v>482</v>
      </c>
      <c r="H699" s="154">
        <v>7340</v>
      </c>
      <c r="I699" s="154" t="s">
        <v>108</v>
      </c>
      <c r="J699" s="125" t="s">
        <v>282</v>
      </c>
      <c r="K699" s="157" t="s">
        <v>501</v>
      </c>
      <c r="L699" s="179">
        <f t="shared" si="100"/>
        <v>20000</v>
      </c>
      <c r="M699" s="323">
        <v>20000</v>
      </c>
      <c r="N699" s="310"/>
      <c r="O699" s="302"/>
      <c r="P699" s="302"/>
      <c r="Q699" s="302"/>
      <c r="R699" s="68"/>
      <c r="S699" s="68"/>
      <c r="T699" s="68"/>
      <c r="U699" s="68">
        <v>24490</v>
      </c>
      <c r="V699" s="4">
        <v>1</v>
      </c>
      <c r="W699" s="3"/>
      <c r="X699" s="3">
        <v>24490</v>
      </c>
      <c r="Y699" s="3"/>
      <c r="Z699" s="59"/>
      <c r="AA699" s="59"/>
      <c r="AB699" s="3"/>
      <c r="AC699" s="3"/>
      <c r="AD699" s="3"/>
      <c r="AE699" s="3"/>
      <c r="AF699" s="3"/>
      <c r="AG699" s="3"/>
      <c r="AH699" s="3"/>
      <c r="AI699" s="52"/>
      <c r="AJ699" s="39">
        <v>100</v>
      </c>
      <c r="AK699" s="156" t="s">
        <v>346</v>
      </c>
      <c r="AL699" s="70">
        <v>3270495</v>
      </c>
      <c r="AM699" s="159">
        <v>99</v>
      </c>
    </row>
    <row r="700" spans="1:39" s="27" customFormat="1" ht="49.5">
      <c r="A700" s="72" t="s">
        <v>886</v>
      </c>
      <c r="B700" s="72"/>
      <c r="C700" s="72"/>
      <c r="D700" s="72"/>
      <c r="E700" s="120" t="s">
        <v>901</v>
      </c>
      <c r="F700" s="120"/>
      <c r="G700" s="154" t="s">
        <v>482</v>
      </c>
      <c r="H700" s="154">
        <v>7340</v>
      </c>
      <c r="I700" s="154" t="s">
        <v>108</v>
      </c>
      <c r="J700" s="125" t="s">
        <v>282</v>
      </c>
      <c r="K700" s="157" t="s">
        <v>502</v>
      </c>
      <c r="L700" s="179">
        <f t="shared" si="100"/>
        <v>20000</v>
      </c>
      <c r="M700" s="323">
        <v>20000</v>
      </c>
      <c r="N700" s="310"/>
      <c r="O700" s="302"/>
      <c r="P700" s="302"/>
      <c r="Q700" s="302"/>
      <c r="R700" s="68"/>
      <c r="S700" s="68"/>
      <c r="T700" s="68"/>
      <c r="U700" s="68">
        <v>154348</v>
      </c>
      <c r="V700" s="4">
        <v>2</v>
      </c>
      <c r="W700" s="3"/>
      <c r="X700" s="71"/>
      <c r="Y700" s="3">
        <v>154348</v>
      </c>
      <c r="Z700" s="59"/>
      <c r="AA700" s="59"/>
      <c r="AB700" s="3"/>
      <c r="AC700" s="3"/>
      <c r="AD700" s="3"/>
      <c r="AE700" s="3"/>
      <c r="AF700" s="3"/>
      <c r="AG700" s="3"/>
      <c r="AH700" s="3"/>
      <c r="AI700" s="52"/>
      <c r="AJ700" s="39">
        <v>100</v>
      </c>
      <c r="AK700" s="156" t="s">
        <v>255</v>
      </c>
      <c r="AL700" s="70">
        <v>10956554.140000001</v>
      </c>
      <c r="AM700" s="159">
        <v>99</v>
      </c>
    </row>
    <row r="701" spans="1:39" s="27" customFormat="1" ht="49.5">
      <c r="A701" s="72" t="s">
        <v>886</v>
      </c>
      <c r="B701" s="72"/>
      <c r="C701" s="72"/>
      <c r="D701" s="72"/>
      <c r="E701" s="120" t="s">
        <v>901</v>
      </c>
      <c r="F701" s="120"/>
      <c r="G701" s="154" t="s">
        <v>482</v>
      </c>
      <c r="H701" s="154">
        <v>7340</v>
      </c>
      <c r="I701" s="154" t="s">
        <v>108</v>
      </c>
      <c r="J701" s="125" t="s">
        <v>282</v>
      </c>
      <c r="K701" s="157" t="s">
        <v>503</v>
      </c>
      <c r="L701" s="179">
        <f t="shared" si="100"/>
        <v>20000</v>
      </c>
      <c r="M701" s="323">
        <v>20000</v>
      </c>
      <c r="N701" s="310"/>
      <c r="O701" s="302"/>
      <c r="P701" s="302"/>
      <c r="Q701" s="302"/>
      <c r="R701" s="68"/>
      <c r="S701" s="68"/>
      <c r="T701" s="68"/>
      <c r="U701" s="68">
        <v>343833</v>
      </c>
      <c r="V701" s="4" t="s">
        <v>276</v>
      </c>
      <c r="W701" s="71"/>
      <c r="X701" s="59">
        <v>281000</v>
      </c>
      <c r="Y701" s="3" t="e">
        <f>#REF!-X701</f>
        <v>#REF!</v>
      </c>
      <c r="Z701" s="59"/>
      <c r="AA701" s="59"/>
      <c r="AB701" s="3"/>
      <c r="AC701" s="3"/>
      <c r="AD701" s="3"/>
      <c r="AE701" s="3"/>
      <c r="AF701" s="3"/>
      <c r="AG701" s="3"/>
      <c r="AH701" s="3"/>
      <c r="AI701" s="52"/>
      <c r="AJ701" s="39">
        <v>100</v>
      </c>
      <c r="AK701" s="156" t="s">
        <v>346</v>
      </c>
      <c r="AL701" s="70">
        <v>3905939.93</v>
      </c>
      <c r="AM701" s="159">
        <v>99</v>
      </c>
    </row>
    <row r="702" spans="1:39" s="27" customFormat="1" ht="33">
      <c r="A702" s="72" t="s">
        <v>886</v>
      </c>
      <c r="B702" s="72"/>
      <c r="C702" s="72"/>
      <c r="D702" s="72"/>
      <c r="E702" s="120" t="s">
        <v>901</v>
      </c>
      <c r="F702" s="120"/>
      <c r="G702" s="154" t="s">
        <v>482</v>
      </c>
      <c r="H702" s="154">
        <v>7340</v>
      </c>
      <c r="I702" s="154" t="s">
        <v>108</v>
      </c>
      <c r="J702" s="125" t="s">
        <v>282</v>
      </c>
      <c r="K702" s="157" t="s">
        <v>504</v>
      </c>
      <c r="L702" s="179">
        <f t="shared" si="100"/>
        <v>20000</v>
      </c>
      <c r="M702" s="323">
        <v>20000</v>
      </c>
      <c r="N702" s="310"/>
      <c r="O702" s="302"/>
      <c r="P702" s="302"/>
      <c r="Q702" s="302"/>
      <c r="R702" s="68"/>
      <c r="S702" s="68"/>
      <c r="T702" s="68"/>
      <c r="U702" s="68">
        <v>277183</v>
      </c>
      <c r="V702" s="4" t="s">
        <v>276</v>
      </c>
      <c r="W702" s="14"/>
      <c r="X702" s="3">
        <v>215000</v>
      </c>
      <c r="Y702" s="3" t="e">
        <f>#REF!-X702</f>
        <v>#REF!</v>
      </c>
      <c r="Z702" s="59"/>
      <c r="AA702" s="59"/>
      <c r="AB702" s="3"/>
      <c r="AC702" s="3"/>
      <c r="AD702" s="3"/>
      <c r="AE702" s="3"/>
      <c r="AF702" s="3"/>
      <c r="AG702" s="3"/>
      <c r="AH702" s="3"/>
      <c r="AI702" s="52"/>
      <c r="AJ702" s="39">
        <v>100</v>
      </c>
      <c r="AK702" s="156" t="s">
        <v>346</v>
      </c>
      <c r="AL702" s="70">
        <v>11015412</v>
      </c>
      <c r="AM702" s="159">
        <v>18</v>
      </c>
    </row>
    <row r="703" spans="1:39" s="27" customFormat="1" ht="49.5">
      <c r="A703" s="72" t="s">
        <v>886</v>
      </c>
      <c r="B703" s="72"/>
      <c r="C703" s="72"/>
      <c r="D703" s="72"/>
      <c r="E703" s="120" t="s">
        <v>901</v>
      </c>
      <c r="F703" s="120"/>
      <c r="G703" s="154" t="s">
        <v>482</v>
      </c>
      <c r="H703" s="154">
        <v>7340</v>
      </c>
      <c r="I703" s="154" t="s">
        <v>108</v>
      </c>
      <c r="J703" s="125" t="s">
        <v>282</v>
      </c>
      <c r="K703" s="157" t="s">
        <v>505</v>
      </c>
      <c r="L703" s="179">
        <f t="shared" si="100"/>
        <v>20000</v>
      </c>
      <c r="M703" s="323">
        <v>20000</v>
      </c>
      <c r="N703" s="310"/>
      <c r="O703" s="302"/>
      <c r="P703" s="302"/>
      <c r="Q703" s="302"/>
      <c r="R703" s="68"/>
      <c r="S703" s="68"/>
      <c r="T703" s="68"/>
      <c r="U703" s="68">
        <v>1613504</v>
      </c>
      <c r="V703" s="4" t="s">
        <v>276</v>
      </c>
      <c r="W703" s="14"/>
      <c r="X703" s="3">
        <v>270000</v>
      </c>
      <c r="Y703" s="3" t="e">
        <f>#REF!-X703</f>
        <v>#REF!</v>
      </c>
      <c r="Z703" s="59"/>
      <c r="AA703" s="59"/>
      <c r="AB703" s="3"/>
      <c r="AC703" s="3"/>
      <c r="AD703" s="3"/>
      <c r="AE703" s="3"/>
      <c r="AF703" s="3"/>
      <c r="AG703" s="3"/>
      <c r="AH703" s="3"/>
      <c r="AI703" s="52"/>
      <c r="AJ703" s="39">
        <v>100</v>
      </c>
      <c r="AK703" s="156" t="s">
        <v>346</v>
      </c>
      <c r="AL703" s="70">
        <v>5099584</v>
      </c>
      <c r="AM703" s="159">
        <v>99</v>
      </c>
    </row>
    <row r="704" spans="1:39" s="27" customFormat="1" ht="49.5">
      <c r="A704" s="72" t="s">
        <v>886</v>
      </c>
      <c r="B704" s="72"/>
      <c r="C704" s="72"/>
      <c r="D704" s="72"/>
      <c r="E704" s="120" t="s">
        <v>901</v>
      </c>
      <c r="F704" s="120"/>
      <c r="G704" s="154" t="s">
        <v>482</v>
      </c>
      <c r="H704" s="154" t="s">
        <v>303</v>
      </c>
      <c r="I704" s="154" t="s">
        <v>108</v>
      </c>
      <c r="J704" s="125" t="s">
        <v>282</v>
      </c>
      <c r="K704" s="157" t="s">
        <v>933</v>
      </c>
      <c r="L704" s="179">
        <f t="shared" si="100"/>
        <v>2000000</v>
      </c>
      <c r="M704" s="323">
        <v>2000000</v>
      </c>
      <c r="N704" s="310"/>
      <c r="O704" s="302"/>
      <c r="P704" s="302"/>
      <c r="Q704" s="302"/>
      <c r="R704" s="68"/>
      <c r="S704" s="68"/>
      <c r="T704" s="68"/>
      <c r="U704" s="68">
        <v>20000</v>
      </c>
      <c r="V704" s="4">
        <v>1</v>
      </c>
      <c r="W704" s="59" t="s">
        <v>725</v>
      </c>
      <c r="X704" s="3">
        <v>20000</v>
      </c>
      <c r="Y704" s="3"/>
      <c r="Z704" s="59"/>
      <c r="AA704" s="59"/>
      <c r="AB704" s="3"/>
      <c r="AC704" s="3"/>
      <c r="AD704" s="3"/>
      <c r="AE704" s="3"/>
      <c r="AF704" s="3"/>
      <c r="AG704" s="3"/>
      <c r="AH704" s="3"/>
      <c r="AI704" s="52"/>
      <c r="AJ704" s="167">
        <v>72</v>
      </c>
      <c r="AK704" s="156" t="s">
        <v>271</v>
      </c>
      <c r="AL704" s="70">
        <v>2993534</v>
      </c>
      <c r="AM704" s="159">
        <v>5</v>
      </c>
    </row>
    <row r="705" spans="1:39" s="27" customFormat="1" ht="49.5">
      <c r="A705" s="72" t="s">
        <v>886</v>
      </c>
      <c r="B705" s="72"/>
      <c r="C705" s="72"/>
      <c r="D705" s="72"/>
      <c r="E705" s="120" t="s">
        <v>1469</v>
      </c>
      <c r="F705" s="120"/>
      <c r="G705" s="154">
        <v>1817340</v>
      </c>
      <c r="H705" s="154">
        <v>7340</v>
      </c>
      <c r="I705" s="154" t="s">
        <v>108</v>
      </c>
      <c r="J705" s="125" t="s">
        <v>282</v>
      </c>
      <c r="K705" s="157" t="s">
        <v>508</v>
      </c>
      <c r="L705" s="179">
        <f t="shared" si="100"/>
        <v>500000</v>
      </c>
      <c r="M705" s="323">
        <v>500000</v>
      </c>
      <c r="N705" s="310"/>
      <c r="O705" s="302"/>
      <c r="P705" s="302"/>
      <c r="Q705" s="302"/>
      <c r="R705" s="68"/>
      <c r="S705" s="68"/>
      <c r="T705" s="68"/>
      <c r="U705" s="68">
        <v>20000</v>
      </c>
      <c r="V705" s="4">
        <v>1</v>
      </c>
      <c r="W705" s="3" t="s">
        <v>725</v>
      </c>
      <c r="X705" s="3">
        <v>20000</v>
      </c>
      <c r="Y705" s="3"/>
      <c r="Z705" s="59"/>
      <c r="AA705" s="59"/>
      <c r="AB705" s="3"/>
      <c r="AC705" s="3"/>
      <c r="AD705" s="3"/>
      <c r="AE705" s="3"/>
      <c r="AF705" s="3"/>
      <c r="AG705" s="3"/>
      <c r="AH705" s="3"/>
      <c r="AI705" s="52"/>
      <c r="AJ705" s="39"/>
      <c r="AK705" s="156" t="s">
        <v>347</v>
      </c>
      <c r="AL705" s="70">
        <v>500000</v>
      </c>
      <c r="AM705" s="159"/>
    </row>
    <row r="706" spans="1:39" s="27" customFormat="1" ht="66">
      <c r="A706" s="72" t="s">
        <v>886</v>
      </c>
      <c r="B706" s="72"/>
      <c r="C706" s="72"/>
      <c r="D706" s="72"/>
      <c r="E706" s="120" t="s">
        <v>1469</v>
      </c>
      <c r="F706" s="120"/>
      <c r="G706" s="154" t="s">
        <v>482</v>
      </c>
      <c r="H706" s="154" t="s">
        <v>303</v>
      </c>
      <c r="I706" s="154" t="s">
        <v>108</v>
      </c>
      <c r="J706" s="125" t="s">
        <v>282</v>
      </c>
      <c r="K706" s="157" t="s">
        <v>1024</v>
      </c>
      <c r="L706" s="179">
        <f t="shared" si="100"/>
        <v>500000</v>
      </c>
      <c r="M706" s="323">
        <v>500000</v>
      </c>
      <c r="N706" s="310"/>
      <c r="O706" s="302"/>
      <c r="P706" s="302"/>
      <c r="Q706" s="302"/>
      <c r="R706" s="68"/>
      <c r="S706" s="68"/>
      <c r="T706" s="68"/>
      <c r="U706" s="68">
        <v>20000</v>
      </c>
      <c r="V706" s="4">
        <v>1</v>
      </c>
      <c r="W706" s="3" t="s">
        <v>725</v>
      </c>
      <c r="X706" s="3">
        <v>20000</v>
      </c>
      <c r="Y706" s="3"/>
      <c r="Z706" s="59"/>
      <c r="AA706" s="59"/>
      <c r="AB706" s="3"/>
      <c r="AC706" s="3"/>
      <c r="AD706" s="3"/>
      <c r="AE706" s="3"/>
      <c r="AF706" s="3"/>
      <c r="AG706" s="3"/>
      <c r="AH706" s="3"/>
      <c r="AI706" s="52"/>
      <c r="AJ706" s="39">
        <v>20</v>
      </c>
      <c r="AK706" s="156" t="s">
        <v>367</v>
      </c>
      <c r="AL706" s="70">
        <v>2500000</v>
      </c>
      <c r="AM706" s="159"/>
    </row>
    <row r="707" spans="1:39" s="27" customFormat="1" ht="66">
      <c r="A707" s="72" t="s">
        <v>886</v>
      </c>
      <c r="B707" s="72"/>
      <c r="C707" s="72"/>
      <c r="D707" s="72"/>
      <c r="E707" s="120" t="s">
        <v>901</v>
      </c>
      <c r="F707" s="120"/>
      <c r="G707" s="154" t="s">
        <v>482</v>
      </c>
      <c r="H707" s="154" t="s">
        <v>303</v>
      </c>
      <c r="I707" s="154" t="s">
        <v>108</v>
      </c>
      <c r="J707" s="125" t="s">
        <v>282</v>
      </c>
      <c r="K707" s="157" t="s">
        <v>514</v>
      </c>
      <c r="L707" s="179">
        <f t="shared" si="100"/>
        <v>407222</v>
      </c>
      <c r="M707" s="323">
        <v>407222</v>
      </c>
      <c r="N707" s="310"/>
      <c r="O707" s="302"/>
      <c r="P707" s="302"/>
      <c r="Q707" s="302"/>
      <c r="R707" s="68"/>
      <c r="S707" s="68"/>
      <c r="T707" s="68"/>
      <c r="U707" s="68">
        <v>20000</v>
      </c>
      <c r="V707" s="4"/>
      <c r="W707" s="3" t="s">
        <v>726</v>
      </c>
      <c r="X707" s="3">
        <v>20000</v>
      </c>
      <c r="Y707" s="3"/>
      <c r="Z707" s="59"/>
      <c r="AA707" s="59"/>
      <c r="AB707" s="3"/>
      <c r="AC707" s="3"/>
      <c r="AD707" s="3"/>
      <c r="AE707" s="3"/>
      <c r="AF707" s="3"/>
      <c r="AG707" s="3"/>
      <c r="AH707" s="3"/>
      <c r="AI707" s="52"/>
      <c r="AJ707" s="39">
        <v>20</v>
      </c>
      <c r="AK707" s="156" t="s">
        <v>271</v>
      </c>
      <c r="AL707" s="70">
        <v>3512965</v>
      </c>
      <c r="AM707" s="159">
        <v>5</v>
      </c>
    </row>
    <row r="708" spans="1:39" s="27" customFormat="1" ht="49.5">
      <c r="A708" s="72" t="s">
        <v>886</v>
      </c>
      <c r="B708" s="72"/>
      <c r="C708" s="72"/>
      <c r="D708" s="72"/>
      <c r="E708" s="120"/>
      <c r="F708" s="120"/>
      <c r="G708" s="154">
        <v>1817340</v>
      </c>
      <c r="H708" s="154">
        <v>7340</v>
      </c>
      <c r="I708" s="154" t="s">
        <v>108</v>
      </c>
      <c r="J708" s="125" t="s">
        <v>282</v>
      </c>
      <c r="K708" s="157" t="s">
        <v>1393</v>
      </c>
      <c r="L708" s="179">
        <f t="shared" si="100"/>
        <v>100000</v>
      </c>
      <c r="M708" s="323">
        <v>100000</v>
      </c>
      <c r="N708" s="310"/>
      <c r="O708" s="302"/>
      <c r="P708" s="302"/>
      <c r="Q708" s="302"/>
      <c r="R708" s="68"/>
      <c r="S708" s="68"/>
      <c r="T708" s="68"/>
      <c r="U708" s="68">
        <v>20000</v>
      </c>
      <c r="V708" s="4">
        <v>1</v>
      </c>
      <c r="W708" s="3" t="s">
        <v>725</v>
      </c>
      <c r="X708" s="3">
        <v>20000</v>
      </c>
      <c r="Y708" s="3"/>
      <c r="Z708" s="59"/>
      <c r="AA708" s="59"/>
      <c r="AB708" s="3"/>
      <c r="AC708" s="3"/>
      <c r="AD708" s="3"/>
      <c r="AE708" s="3"/>
      <c r="AF708" s="3"/>
      <c r="AG708" s="3"/>
      <c r="AH708" s="3"/>
      <c r="AI708" s="52"/>
      <c r="AJ708" s="167">
        <v>3.33</v>
      </c>
      <c r="AK708" s="156" t="s">
        <v>367</v>
      </c>
      <c r="AL708" s="70">
        <v>3000000</v>
      </c>
      <c r="AM708" s="159"/>
    </row>
    <row r="709" spans="1:39" s="27" customFormat="1" ht="49.5">
      <c r="A709" s="72" t="s">
        <v>886</v>
      </c>
      <c r="B709" s="72"/>
      <c r="C709" s="72"/>
      <c r="D709" s="72"/>
      <c r="E709" s="120"/>
      <c r="F709" s="120"/>
      <c r="G709" s="154">
        <v>1817340</v>
      </c>
      <c r="H709" s="154">
        <v>7340</v>
      </c>
      <c r="I709" s="154" t="s">
        <v>108</v>
      </c>
      <c r="J709" s="125" t="s">
        <v>282</v>
      </c>
      <c r="K709" s="157" t="s">
        <v>1394</v>
      </c>
      <c r="L709" s="179">
        <f t="shared" si="100"/>
        <v>50000</v>
      </c>
      <c r="M709" s="323">
        <v>50000</v>
      </c>
      <c r="N709" s="310"/>
      <c r="O709" s="302"/>
      <c r="P709" s="302"/>
      <c r="Q709" s="302"/>
      <c r="R709" s="68"/>
      <c r="S709" s="68"/>
      <c r="T709" s="68"/>
      <c r="U709" s="68">
        <v>100000</v>
      </c>
      <c r="V709" s="4">
        <v>3</v>
      </c>
      <c r="W709" s="3"/>
      <c r="X709" s="3"/>
      <c r="Y709" s="3"/>
      <c r="Z709" s="59"/>
      <c r="AA709" s="59"/>
      <c r="AB709" s="3">
        <v>100000</v>
      </c>
      <c r="AC709" s="3"/>
      <c r="AD709" s="3"/>
      <c r="AE709" s="3"/>
      <c r="AF709" s="3"/>
      <c r="AG709" s="3"/>
      <c r="AH709" s="3"/>
      <c r="AI709" s="52"/>
      <c r="AJ709" s="167">
        <v>1.66</v>
      </c>
      <c r="AK709" s="156" t="s">
        <v>398</v>
      </c>
      <c r="AL709" s="70">
        <v>3000000</v>
      </c>
      <c r="AM709" s="159"/>
    </row>
    <row r="710" spans="1:39" s="27" customFormat="1" ht="49.5">
      <c r="A710" s="72" t="s">
        <v>886</v>
      </c>
      <c r="B710" s="72"/>
      <c r="C710" s="72"/>
      <c r="D710" s="72"/>
      <c r="E710" s="120"/>
      <c r="F710" s="120"/>
      <c r="G710" s="154">
        <v>1817340</v>
      </c>
      <c r="H710" s="154">
        <v>7340</v>
      </c>
      <c r="I710" s="154" t="s">
        <v>108</v>
      </c>
      <c r="J710" s="125" t="s">
        <v>282</v>
      </c>
      <c r="K710" s="157" t="s">
        <v>1395</v>
      </c>
      <c r="L710" s="179">
        <f t="shared" si="100"/>
        <v>50000</v>
      </c>
      <c r="M710" s="323">
        <v>50000</v>
      </c>
      <c r="N710" s="310"/>
      <c r="O710" s="302"/>
      <c r="P710" s="302"/>
      <c r="Q710" s="302"/>
      <c r="R710" s="68"/>
      <c r="S710" s="68"/>
      <c r="T710" s="68"/>
      <c r="U710" s="68">
        <v>2000000</v>
      </c>
      <c r="V710" s="4">
        <v>3</v>
      </c>
      <c r="W710" s="3"/>
      <c r="X710" s="71"/>
      <c r="Y710" s="3"/>
      <c r="Z710" s="59"/>
      <c r="AA710" s="59"/>
      <c r="AB710" s="3">
        <v>2000000</v>
      </c>
      <c r="AC710" s="3"/>
      <c r="AD710" s="3"/>
      <c r="AE710" s="3"/>
      <c r="AF710" s="3"/>
      <c r="AG710" s="3"/>
      <c r="AH710" s="3"/>
      <c r="AI710" s="52"/>
      <c r="AJ710" s="167">
        <v>1.66</v>
      </c>
      <c r="AK710" s="156" t="s">
        <v>1396</v>
      </c>
      <c r="AL710" s="70">
        <v>3000000</v>
      </c>
      <c r="AM710" s="159"/>
    </row>
    <row r="711" spans="1:39" s="27" customFormat="1" ht="49.5">
      <c r="A711" s="72" t="s">
        <v>886</v>
      </c>
      <c r="B711" s="72"/>
      <c r="C711" s="72"/>
      <c r="D711" s="72"/>
      <c r="E711" s="120" t="s">
        <v>901</v>
      </c>
      <c r="F711" s="120"/>
      <c r="G711" s="154" t="s">
        <v>482</v>
      </c>
      <c r="H711" s="154" t="s">
        <v>303</v>
      </c>
      <c r="I711" s="154" t="s">
        <v>108</v>
      </c>
      <c r="J711" s="125" t="s">
        <v>282</v>
      </c>
      <c r="K711" s="157" t="s">
        <v>515</v>
      </c>
      <c r="L711" s="179">
        <f t="shared" si="100"/>
        <v>400000</v>
      </c>
      <c r="M711" s="323">
        <v>400000</v>
      </c>
      <c r="N711" s="310"/>
      <c r="O711" s="302"/>
      <c r="P711" s="302"/>
      <c r="Q711" s="302"/>
      <c r="R711" s="68"/>
      <c r="S711" s="68"/>
      <c r="T711" s="68"/>
      <c r="U711" s="68">
        <v>500000</v>
      </c>
      <c r="V711" s="4">
        <v>2</v>
      </c>
      <c r="W711" s="3"/>
      <c r="X711" s="14"/>
      <c r="Y711" s="3">
        <v>500000</v>
      </c>
      <c r="Z711" s="59"/>
      <c r="AA711" s="59"/>
      <c r="AB711" s="3"/>
      <c r="AC711" s="3"/>
      <c r="AD711" s="3"/>
      <c r="AE711" s="3"/>
      <c r="AF711" s="3"/>
      <c r="AG711" s="3"/>
      <c r="AH711" s="3"/>
      <c r="AI711" s="52"/>
      <c r="AJ711" s="167">
        <v>8</v>
      </c>
      <c r="AK711" s="156" t="s">
        <v>271</v>
      </c>
      <c r="AL711" s="70">
        <v>7823626</v>
      </c>
      <c r="AM711" s="159">
        <v>3</v>
      </c>
    </row>
    <row r="712" spans="1:39" s="27" customFormat="1" ht="49.5">
      <c r="A712" s="72" t="s">
        <v>886</v>
      </c>
      <c r="B712" s="72"/>
      <c r="C712" s="72"/>
      <c r="D712" s="72"/>
      <c r="E712" s="120" t="s">
        <v>901</v>
      </c>
      <c r="F712" s="120"/>
      <c r="G712" s="154" t="s">
        <v>482</v>
      </c>
      <c r="H712" s="154" t="s">
        <v>303</v>
      </c>
      <c r="I712" s="154" t="s">
        <v>108</v>
      </c>
      <c r="J712" s="125" t="s">
        <v>282</v>
      </c>
      <c r="K712" s="157" t="s">
        <v>516</v>
      </c>
      <c r="L712" s="179">
        <f t="shared" si="100"/>
        <v>1400000</v>
      </c>
      <c r="M712" s="323">
        <f>500000+900000</f>
        <v>1400000</v>
      </c>
      <c r="N712" s="310"/>
      <c r="O712" s="302"/>
      <c r="P712" s="302"/>
      <c r="Q712" s="302"/>
      <c r="R712" s="68"/>
      <c r="S712" s="68"/>
      <c r="T712" s="68"/>
      <c r="U712" s="68">
        <v>500000</v>
      </c>
      <c r="V712" s="59"/>
      <c r="W712" s="3"/>
      <c r="X712" s="14"/>
      <c r="Y712" s="3">
        <v>500000</v>
      </c>
      <c r="Z712" s="59"/>
      <c r="AA712" s="59"/>
      <c r="AB712" s="3"/>
      <c r="AC712" s="3"/>
      <c r="AD712" s="3"/>
      <c r="AE712" s="3"/>
      <c r="AF712" s="3"/>
      <c r="AG712" s="3"/>
      <c r="AH712" s="3"/>
      <c r="AI712" s="52"/>
      <c r="AJ712" s="167">
        <f>M712/AL712*100</f>
        <v>22.257841835139981</v>
      </c>
      <c r="AK712" s="156" t="s">
        <v>346</v>
      </c>
      <c r="AL712" s="70">
        <v>6289918</v>
      </c>
      <c r="AM712" s="159">
        <v>4.13</v>
      </c>
    </row>
    <row r="713" spans="1:39" s="27" customFormat="1" ht="49.5">
      <c r="A713" s="72" t="s">
        <v>886</v>
      </c>
      <c r="B713" s="72"/>
      <c r="C713" s="72"/>
      <c r="D713" s="72"/>
      <c r="E713" s="120" t="s">
        <v>901</v>
      </c>
      <c r="F713" s="120"/>
      <c r="G713" s="154" t="s">
        <v>482</v>
      </c>
      <c r="H713" s="154" t="s">
        <v>303</v>
      </c>
      <c r="I713" s="154" t="s">
        <v>108</v>
      </c>
      <c r="J713" s="125" t="s">
        <v>282</v>
      </c>
      <c r="K713" s="157" t="s">
        <v>1067</v>
      </c>
      <c r="L713" s="179">
        <f t="shared" si="100"/>
        <v>100000</v>
      </c>
      <c r="M713" s="323">
        <f>500000-400000</f>
        <v>100000</v>
      </c>
      <c r="N713" s="310"/>
      <c r="O713" s="302"/>
      <c r="P713" s="302"/>
      <c r="Q713" s="302"/>
      <c r="R713" s="68"/>
      <c r="S713" s="68"/>
      <c r="T713" s="68"/>
      <c r="U713" s="68">
        <v>500000</v>
      </c>
      <c r="V713" s="4">
        <v>2</v>
      </c>
      <c r="W713" s="3"/>
      <c r="X713" s="14"/>
      <c r="Y713" s="3">
        <v>500000</v>
      </c>
      <c r="Z713" s="59"/>
      <c r="AA713" s="59"/>
      <c r="AB713" s="3"/>
      <c r="AC713" s="3"/>
      <c r="AD713" s="3"/>
      <c r="AE713" s="3"/>
      <c r="AF713" s="3"/>
      <c r="AG713" s="3"/>
      <c r="AH713" s="3"/>
      <c r="AI713" s="52"/>
      <c r="AJ713" s="39">
        <v>14</v>
      </c>
      <c r="AK713" s="156" t="s">
        <v>347</v>
      </c>
      <c r="AL713" s="70">
        <v>7709639</v>
      </c>
      <c r="AM713" s="159">
        <v>3.5</v>
      </c>
    </row>
    <row r="714" spans="1:39" s="27" customFormat="1" ht="49.5">
      <c r="A714" s="72" t="s">
        <v>886</v>
      </c>
      <c r="B714" s="72"/>
      <c r="C714" s="72"/>
      <c r="D714" s="72"/>
      <c r="E714" s="120" t="s">
        <v>901</v>
      </c>
      <c r="F714" s="120"/>
      <c r="G714" s="154" t="s">
        <v>482</v>
      </c>
      <c r="H714" s="154" t="s">
        <v>303</v>
      </c>
      <c r="I714" s="154" t="s">
        <v>108</v>
      </c>
      <c r="J714" s="125" t="s">
        <v>282</v>
      </c>
      <c r="K714" s="157" t="s">
        <v>517</v>
      </c>
      <c r="L714" s="179">
        <f t="shared" si="100"/>
        <v>100000</v>
      </c>
      <c r="M714" s="323">
        <f>500000-400000</f>
        <v>100000</v>
      </c>
      <c r="N714" s="310"/>
      <c r="O714" s="326"/>
      <c r="P714" s="326"/>
      <c r="Q714" s="326"/>
      <c r="R714" s="40"/>
      <c r="S714" s="40"/>
      <c r="T714" s="40"/>
      <c r="U714" s="40">
        <f>807222-400000</f>
        <v>407222</v>
      </c>
      <c r="V714" s="4">
        <v>3</v>
      </c>
      <c r="W714" s="3"/>
      <c r="X714" s="14"/>
      <c r="Y714" s="3"/>
      <c r="Z714" s="59"/>
      <c r="AA714" s="59"/>
      <c r="AB714" s="3">
        <v>807222</v>
      </c>
      <c r="AC714" s="3"/>
      <c r="AD714" s="3"/>
      <c r="AE714" s="3"/>
      <c r="AF714" s="3"/>
      <c r="AG714" s="3"/>
      <c r="AH714" s="3"/>
      <c r="AI714" s="52"/>
      <c r="AJ714" s="39">
        <v>32</v>
      </c>
      <c r="AK714" s="156" t="s">
        <v>271</v>
      </c>
      <c r="AL714" s="70">
        <v>1896096</v>
      </c>
      <c r="AM714" s="159">
        <v>5.5</v>
      </c>
    </row>
    <row r="715" spans="1:39" s="27" customFormat="1" ht="49.5">
      <c r="A715" s="72" t="s">
        <v>886</v>
      </c>
      <c r="B715" s="72"/>
      <c r="C715" s="72"/>
      <c r="D715" s="72"/>
      <c r="E715" s="120" t="s">
        <v>901</v>
      </c>
      <c r="F715" s="120"/>
      <c r="G715" s="154">
        <v>1817340</v>
      </c>
      <c r="H715" s="154">
        <v>7340</v>
      </c>
      <c r="I715" s="154" t="s">
        <v>108</v>
      </c>
      <c r="J715" s="125" t="s">
        <v>282</v>
      </c>
      <c r="K715" s="157" t="s">
        <v>1178</v>
      </c>
      <c r="L715" s="179">
        <f t="shared" si="100"/>
        <v>200000</v>
      </c>
      <c r="M715" s="323">
        <v>200000</v>
      </c>
      <c r="N715" s="310"/>
      <c r="O715" s="302"/>
      <c r="P715" s="302"/>
      <c r="Q715" s="302"/>
      <c r="R715" s="68"/>
      <c r="S715" s="68"/>
      <c r="T715" s="68"/>
      <c r="U715" s="68">
        <v>400000</v>
      </c>
      <c r="V715" s="4">
        <v>3</v>
      </c>
      <c r="W715" s="3"/>
      <c r="X715" s="14"/>
      <c r="Y715" s="3"/>
      <c r="Z715" s="59"/>
      <c r="AA715" s="59"/>
      <c r="AB715" s="3">
        <v>400000</v>
      </c>
      <c r="AC715" s="3"/>
      <c r="AD715" s="3"/>
      <c r="AE715" s="3"/>
      <c r="AF715" s="3"/>
      <c r="AG715" s="3"/>
      <c r="AH715" s="3"/>
      <c r="AI715" s="52"/>
      <c r="AJ715" s="39">
        <v>10</v>
      </c>
      <c r="AK715" s="156" t="s">
        <v>271</v>
      </c>
      <c r="AL715" s="70">
        <v>2000000</v>
      </c>
      <c r="AM715" s="159"/>
    </row>
    <row r="716" spans="1:39" s="27" customFormat="1" ht="33">
      <c r="A716" s="72" t="s">
        <v>886</v>
      </c>
      <c r="B716" s="72"/>
      <c r="C716" s="72"/>
      <c r="D716" s="72"/>
      <c r="E716" s="120" t="s">
        <v>1230</v>
      </c>
      <c r="F716" s="120"/>
      <c r="G716" s="154">
        <v>1817340</v>
      </c>
      <c r="H716" s="154">
        <v>7340</v>
      </c>
      <c r="I716" s="154" t="s">
        <v>108</v>
      </c>
      <c r="J716" s="125" t="s">
        <v>282</v>
      </c>
      <c r="K716" s="157" t="s">
        <v>1107</v>
      </c>
      <c r="L716" s="179">
        <f t="shared" si="100"/>
        <v>2000000</v>
      </c>
      <c r="M716" s="323">
        <v>2000000</v>
      </c>
      <c r="N716" s="310"/>
      <c r="O716" s="302"/>
      <c r="P716" s="302"/>
      <c r="Q716" s="302"/>
      <c r="R716" s="68"/>
      <c r="S716" s="68"/>
      <c r="T716" s="68"/>
      <c r="U716" s="68">
        <v>500000</v>
      </c>
      <c r="V716" s="4">
        <v>3</v>
      </c>
      <c r="W716" s="3"/>
      <c r="X716" s="14"/>
      <c r="Y716" s="3"/>
      <c r="Z716" s="59"/>
      <c r="AA716" s="59"/>
      <c r="AB716" s="3">
        <v>500000</v>
      </c>
      <c r="AC716" s="3"/>
      <c r="AD716" s="3"/>
      <c r="AE716" s="3"/>
      <c r="AF716" s="3"/>
      <c r="AG716" s="3"/>
      <c r="AH716" s="3"/>
      <c r="AI716" s="52"/>
      <c r="AJ716" s="39"/>
      <c r="AK716" s="156">
        <v>2021</v>
      </c>
      <c r="AL716" s="70"/>
      <c r="AM716" s="159"/>
    </row>
    <row r="717" spans="1:39" s="27" customFormat="1" ht="33">
      <c r="A717" s="72" t="s">
        <v>886</v>
      </c>
      <c r="B717" s="72"/>
      <c r="C717" s="72"/>
      <c r="D717" s="72"/>
      <c r="E717" s="120" t="s">
        <v>903</v>
      </c>
      <c r="F717" s="120"/>
      <c r="G717" s="154" t="s">
        <v>1011</v>
      </c>
      <c r="H717" s="154" t="s">
        <v>183</v>
      </c>
      <c r="I717" s="154" t="s">
        <v>31</v>
      </c>
      <c r="J717" s="125" t="s">
        <v>184</v>
      </c>
      <c r="K717" s="157" t="s">
        <v>513</v>
      </c>
      <c r="L717" s="179">
        <f t="shared" si="100"/>
        <v>1000000</v>
      </c>
      <c r="M717" s="323">
        <v>1000000</v>
      </c>
      <c r="N717" s="310"/>
      <c r="O717" s="326"/>
      <c r="P717" s="326"/>
      <c r="Q717" s="326"/>
      <c r="R717" s="40"/>
      <c r="S717" s="40"/>
      <c r="T717" s="40"/>
      <c r="U717" s="40">
        <f>1000000-200000-300000</f>
        <v>500000</v>
      </c>
      <c r="V717" s="4">
        <v>3</v>
      </c>
      <c r="W717" s="3"/>
      <c r="X717" s="14"/>
      <c r="Y717" s="3"/>
      <c r="Z717" s="59"/>
      <c r="AA717" s="59"/>
      <c r="AB717" s="3">
        <v>1000000</v>
      </c>
      <c r="AC717" s="3"/>
      <c r="AD717" s="3"/>
      <c r="AE717" s="3"/>
      <c r="AF717" s="3"/>
      <c r="AG717" s="3"/>
      <c r="AH717" s="3"/>
      <c r="AI717" s="52"/>
      <c r="AJ717" s="167">
        <f>M717/AL717*100</f>
        <v>23.696682464454977</v>
      </c>
      <c r="AK717" s="156" t="s">
        <v>271</v>
      </c>
      <c r="AL717" s="70">
        <v>4220000</v>
      </c>
      <c r="AM717" s="159">
        <v>2</v>
      </c>
    </row>
    <row r="718" spans="1:39" s="27" customFormat="1" ht="33">
      <c r="A718" s="72" t="s">
        <v>886</v>
      </c>
      <c r="B718" s="72"/>
      <c r="C718" s="72"/>
      <c r="D718" s="72"/>
      <c r="E718" s="120" t="s">
        <v>904</v>
      </c>
      <c r="F718" s="120"/>
      <c r="G718" s="154" t="s">
        <v>1011</v>
      </c>
      <c r="H718" s="154" t="s">
        <v>183</v>
      </c>
      <c r="I718" s="154" t="s">
        <v>31</v>
      </c>
      <c r="J718" s="125" t="s">
        <v>184</v>
      </c>
      <c r="K718" s="157" t="s">
        <v>518</v>
      </c>
      <c r="L718" s="179">
        <f t="shared" si="100"/>
        <v>800000</v>
      </c>
      <c r="M718" s="323">
        <v>800000</v>
      </c>
      <c r="N718" s="310"/>
      <c r="O718" s="302"/>
      <c r="P718" s="302"/>
      <c r="Q718" s="302"/>
      <c r="R718" s="68"/>
      <c r="S718" s="68"/>
      <c r="T718" s="68"/>
      <c r="U718" s="68">
        <v>500000</v>
      </c>
      <c r="V718" s="4">
        <v>3</v>
      </c>
      <c r="W718" s="3"/>
      <c r="X718" s="14"/>
      <c r="Y718" s="3"/>
      <c r="Z718" s="59"/>
      <c r="AA718" s="59"/>
      <c r="AB718" s="3">
        <v>500000</v>
      </c>
      <c r="AC718" s="3"/>
      <c r="AD718" s="3"/>
      <c r="AE718" s="3"/>
      <c r="AF718" s="3"/>
      <c r="AG718" s="3"/>
      <c r="AH718" s="3"/>
      <c r="AI718" s="52"/>
      <c r="AJ718" s="39">
        <v>42</v>
      </c>
      <c r="AK718" s="156" t="s">
        <v>271</v>
      </c>
      <c r="AL718" s="70">
        <v>2000000</v>
      </c>
      <c r="AM718" s="159">
        <v>2.5</v>
      </c>
    </row>
    <row r="719" spans="1:39" s="27" customFormat="1">
      <c r="A719" s="72" t="s">
        <v>886</v>
      </c>
      <c r="B719" s="72"/>
      <c r="C719" s="72"/>
      <c r="D719" s="72"/>
      <c r="E719" s="120" t="s">
        <v>1469</v>
      </c>
      <c r="F719" s="120"/>
      <c r="G719" s="154">
        <v>1817670</v>
      </c>
      <c r="H719" s="154">
        <v>7670</v>
      </c>
      <c r="I719" s="154" t="s">
        <v>31</v>
      </c>
      <c r="J719" s="125" t="s">
        <v>32</v>
      </c>
      <c r="K719" s="157" t="s">
        <v>510</v>
      </c>
      <c r="L719" s="179">
        <f t="shared" si="100"/>
        <v>5000000</v>
      </c>
      <c r="M719" s="323">
        <v>5000000</v>
      </c>
      <c r="N719" s="310"/>
      <c r="O719" s="302"/>
      <c r="P719" s="302"/>
      <c r="Q719" s="302"/>
      <c r="R719" s="68"/>
      <c r="S719" s="68"/>
      <c r="T719" s="68"/>
      <c r="U719" s="68">
        <v>800000</v>
      </c>
      <c r="V719" s="4">
        <v>3</v>
      </c>
      <c r="W719" s="3"/>
      <c r="X719" s="14"/>
      <c r="Y719" s="3"/>
      <c r="Z719" s="59"/>
      <c r="AA719" s="59"/>
      <c r="AB719" s="3">
        <v>800000</v>
      </c>
      <c r="AC719" s="3"/>
      <c r="AD719" s="3"/>
      <c r="AE719" s="3"/>
      <c r="AF719" s="3"/>
      <c r="AG719" s="3"/>
      <c r="AH719" s="3"/>
      <c r="AI719" s="52"/>
      <c r="AJ719" s="156"/>
      <c r="AK719" s="156">
        <v>2021</v>
      </c>
      <c r="AL719" s="70"/>
      <c r="AM719" s="159"/>
    </row>
    <row r="720" spans="1:39" s="27" customFormat="1" ht="33">
      <c r="A720" s="72" t="s">
        <v>886</v>
      </c>
      <c r="B720" s="72"/>
      <c r="C720" s="72"/>
      <c r="D720" s="72"/>
      <c r="E720" s="120" t="s">
        <v>1469</v>
      </c>
      <c r="F720" s="120"/>
      <c r="G720" s="154">
        <v>1817670</v>
      </c>
      <c r="H720" s="154">
        <v>7670</v>
      </c>
      <c r="I720" s="154" t="s">
        <v>31</v>
      </c>
      <c r="J720" s="125" t="s">
        <v>32</v>
      </c>
      <c r="K720" s="157" t="s">
        <v>509</v>
      </c>
      <c r="L720" s="179">
        <f t="shared" si="100"/>
        <v>500000</v>
      </c>
      <c r="M720" s="323">
        <v>500000</v>
      </c>
      <c r="N720" s="310"/>
      <c r="O720" s="302"/>
      <c r="P720" s="302"/>
      <c r="Q720" s="302"/>
      <c r="R720" s="68"/>
      <c r="S720" s="68"/>
      <c r="T720" s="68"/>
      <c r="U720" s="68">
        <v>600000</v>
      </c>
      <c r="V720" s="4">
        <v>3</v>
      </c>
      <c r="W720" s="3"/>
      <c r="X720" s="14"/>
      <c r="Y720" s="3"/>
      <c r="Z720" s="59"/>
      <c r="AA720" s="59"/>
      <c r="AB720" s="3">
        <v>600000</v>
      </c>
      <c r="AC720" s="3"/>
      <c r="AD720" s="3"/>
      <c r="AE720" s="3"/>
      <c r="AF720" s="3"/>
      <c r="AG720" s="3"/>
      <c r="AH720" s="3"/>
      <c r="AI720" s="52"/>
      <c r="AJ720" s="156"/>
      <c r="AK720" s="156">
        <v>2021</v>
      </c>
      <c r="AL720" s="70"/>
      <c r="AM720" s="159"/>
    </row>
    <row r="721" spans="1:39" s="27" customFormat="1" ht="82.5">
      <c r="A721" s="72" t="s">
        <v>886</v>
      </c>
      <c r="B721" s="72"/>
      <c r="C721" s="72"/>
      <c r="D721" s="72"/>
      <c r="E721" s="120" t="s">
        <v>901</v>
      </c>
      <c r="F721" s="120"/>
      <c r="G721" s="154" t="s">
        <v>1103</v>
      </c>
      <c r="H721" s="154" t="s">
        <v>1104</v>
      </c>
      <c r="I721" s="154" t="s">
        <v>25</v>
      </c>
      <c r="J721" s="125" t="s">
        <v>1105</v>
      </c>
      <c r="K721" s="157" t="s">
        <v>1106</v>
      </c>
      <c r="L721" s="179">
        <f t="shared" si="100"/>
        <v>2311000</v>
      </c>
      <c r="M721" s="323">
        <v>2311000</v>
      </c>
      <c r="N721" s="310"/>
      <c r="O721" s="302"/>
      <c r="P721" s="302"/>
      <c r="Q721" s="302"/>
      <c r="R721" s="68"/>
      <c r="S721" s="68"/>
      <c r="T721" s="68"/>
      <c r="U721" s="68">
        <v>200000</v>
      </c>
      <c r="V721" s="59">
        <v>3</v>
      </c>
      <c r="W721" s="3"/>
      <c r="X721" s="14"/>
      <c r="Y721" s="3"/>
      <c r="Z721" s="59"/>
      <c r="AA721" s="59"/>
      <c r="AB721" s="3">
        <v>200000</v>
      </c>
      <c r="AC721" s="3"/>
      <c r="AD721" s="3"/>
      <c r="AE721" s="3"/>
      <c r="AF721" s="3"/>
      <c r="AG721" s="3"/>
      <c r="AH721" s="3"/>
      <c r="AI721" s="52"/>
      <c r="AJ721" s="167">
        <v>5.7432464168827488</v>
      </c>
      <c r="AK721" s="156" t="s">
        <v>367</v>
      </c>
      <c r="AL721" s="70">
        <v>40238566</v>
      </c>
      <c r="AM721" s="159"/>
    </row>
    <row r="722" spans="1:39" s="198" customFormat="1">
      <c r="A722" s="193" t="s">
        <v>887</v>
      </c>
      <c r="B722" s="181" t="s">
        <v>193</v>
      </c>
      <c r="C722" s="181"/>
      <c r="D722" s="181"/>
      <c r="E722" s="182" t="s">
        <v>1225</v>
      </c>
      <c r="F722" s="182"/>
      <c r="G722" s="219" t="s">
        <v>81</v>
      </c>
      <c r="H722" s="219"/>
      <c r="I722" s="219"/>
      <c r="J722" s="184" t="s">
        <v>82</v>
      </c>
      <c r="K722" s="201"/>
      <c r="L722" s="287">
        <f>L724+L730</f>
        <v>228455940</v>
      </c>
      <c r="M722" s="287">
        <f t="shared" ref="M722:Q722" si="101">M724+M730</f>
        <v>0</v>
      </c>
      <c r="N722" s="287">
        <f t="shared" si="101"/>
        <v>28034340</v>
      </c>
      <c r="O722" s="287">
        <f t="shared" si="101"/>
        <v>0</v>
      </c>
      <c r="P722" s="287">
        <f t="shared" si="101"/>
        <v>72000000</v>
      </c>
      <c r="Q722" s="287">
        <f t="shared" si="101"/>
        <v>128421600</v>
      </c>
      <c r="R722" s="187">
        <f t="shared" ref="R722:R723" si="102">L722-M722-N722-O722-P722-Q722</f>
        <v>0</v>
      </c>
      <c r="S722" s="187"/>
      <c r="T722" s="187"/>
      <c r="U722" s="187">
        <f>SUM(U724:U730)</f>
        <v>282778300</v>
      </c>
      <c r="V722" s="187"/>
      <c r="W722" s="187"/>
      <c r="X722" s="187">
        <f>SUM(X724:X730)</f>
        <v>0</v>
      </c>
      <c r="Y722" s="187">
        <f>SUM(Y724:Y730)</f>
        <v>0</v>
      </c>
      <c r="Z722" s="187"/>
      <c r="AA722" s="187"/>
      <c r="AB722" s="187">
        <f>SUM(AB724:AB730)</f>
        <v>288778300</v>
      </c>
      <c r="AC722" s="187">
        <f>X722+Y722+AB722-N722</f>
        <v>260743960</v>
      </c>
      <c r="AD722" s="187">
        <f>SUM(AD724:AD730)</f>
        <v>103500000</v>
      </c>
      <c r="AE722" s="187">
        <f>SUM(AE724:AE730)</f>
        <v>0</v>
      </c>
      <c r="AF722" s="187">
        <f>SUM(AF724:AF730)</f>
        <v>29500000</v>
      </c>
      <c r="AG722" s="187">
        <f>SUM(AG724:AG730)</f>
        <v>38500000</v>
      </c>
      <c r="AH722" s="187">
        <f>SUM(AH724:AH730)</f>
        <v>111278300</v>
      </c>
      <c r="AI722" s="199"/>
      <c r="AJ722" s="187"/>
      <c r="AK722" s="185"/>
      <c r="AL722" s="196"/>
      <c r="AM722" s="197"/>
    </row>
    <row r="723" spans="1:39" s="198" customFormat="1">
      <c r="A723" s="193" t="s">
        <v>887</v>
      </c>
      <c r="B723" s="193"/>
      <c r="C723" s="193"/>
      <c r="D723" s="193"/>
      <c r="E723" s="182" t="s">
        <v>1225</v>
      </c>
      <c r="F723" s="182"/>
      <c r="G723" s="219" t="s">
        <v>83</v>
      </c>
      <c r="H723" s="220"/>
      <c r="I723" s="220"/>
      <c r="J723" s="190" t="s">
        <v>82</v>
      </c>
      <c r="K723" s="201"/>
      <c r="L723" s="290"/>
      <c r="M723" s="291"/>
      <c r="N723" s="297"/>
      <c r="O723" s="297"/>
      <c r="P723" s="297"/>
      <c r="Q723" s="297"/>
      <c r="R723" s="187">
        <f t="shared" si="102"/>
        <v>0</v>
      </c>
      <c r="S723" s="199"/>
      <c r="T723" s="199"/>
      <c r="U723" s="199"/>
      <c r="V723" s="200"/>
      <c r="W723" s="199"/>
      <c r="X723" s="199"/>
      <c r="Y723" s="199"/>
      <c r="Z723" s="199"/>
      <c r="AA723" s="199"/>
      <c r="AB723" s="199"/>
      <c r="AC723" s="199"/>
      <c r="AD723" s="199"/>
      <c r="AE723" s="199"/>
      <c r="AF723" s="199"/>
      <c r="AG723" s="199"/>
      <c r="AH723" s="199"/>
      <c r="AI723" s="199"/>
      <c r="AJ723" s="199"/>
      <c r="AK723" s="185"/>
      <c r="AL723" s="196"/>
      <c r="AM723" s="197"/>
    </row>
    <row r="724" spans="1:39" s="27" customFormat="1">
      <c r="A724" s="34" t="s">
        <v>887</v>
      </c>
      <c r="B724" s="34"/>
      <c r="C724" s="72"/>
      <c r="D724" s="72"/>
      <c r="E724" s="120" t="s">
        <v>1469</v>
      </c>
      <c r="F724" s="120"/>
      <c r="G724" s="80" t="s">
        <v>84</v>
      </c>
      <c r="H724" s="80" t="s">
        <v>30</v>
      </c>
      <c r="I724" s="80" t="s">
        <v>31</v>
      </c>
      <c r="J724" s="81" t="s">
        <v>32</v>
      </c>
      <c r="K724" s="86" t="s">
        <v>85</v>
      </c>
      <c r="L724" s="179">
        <f>SUM(M724:Q724)</f>
        <v>164200000</v>
      </c>
      <c r="M724" s="323"/>
      <c r="N724" s="310"/>
      <c r="O724" s="326"/>
      <c r="P724" s="294">
        <f>SUM(P726:P729)</f>
        <v>72000000</v>
      </c>
      <c r="Q724" s="294">
        <v>92200000</v>
      </c>
      <c r="R724" s="62"/>
      <c r="S724" s="63"/>
      <c r="T724" s="63"/>
      <c r="U724" s="63">
        <f>24000000+50000000+30500000+10500000-23000000-12000000-6500000-30500000</f>
        <v>43000000</v>
      </c>
      <c r="V724" s="9">
        <v>3</v>
      </c>
      <c r="W724" s="19"/>
      <c r="X724" s="19"/>
      <c r="Y724" s="19"/>
      <c r="Z724" s="52"/>
      <c r="AA724" s="52"/>
      <c r="AB724" s="19">
        <f>AD724+AF724+AG724</f>
        <v>43000000</v>
      </c>
      <c r="AC724" s="19"/>
      <c r="AD724" s="19">
        <f>10500000+30500000-30500000</f>
        <v>10500000</v>
      </c>
      <c r="AE724" s="19"/>
      <c r="AF724" s="19">
        <v>24000000</v>
      </c>
      <c r="AG724" s="19">
        <f>50000000-6500000-12000000-23000000</f>
        <v>8500000</v>
      </c>
      <c r="AH724" s="19"/>
      <c r="AI724" s="52">
        <v>92200000</v>
      </c>
      <c r="AJ724" s="78">
        <v>100</v>
      </c>
      <c r="AK724" s="78">
        <v>2021</v>
      </c>
      <c r="AL724" s="83"/>
      <c r="AM724" s="84"/>
    </row>
    <row r="725" spans="1:39" s="262" customFormat="1">
      <c r="A725" s="72" t="s">
        <v>1468</v>
      </c>
      <c r="B725" s="252"/>
      <c r="C725" s="252"/>
      <c r="D725" s="252"/>
      <c r="E725" s="253"/>
      <c r="F725" s="253"/>
      <c r="G725" s="270"/>
      <c r="H725" s="270"/>
      <c r="I725" s="270"/>
      <c r="J725" s="271"/>
      <c r="K725" s="147" t="s">
        <v>1342</v>
      </c>
      <c r="L725" s="327">
        <f t="shared" ref="L725:L729" si="103">SUM(M725:Q725)</f>
        <v>92200000</v>
      </c>
      <c r="M725" s="328"/>
      <c r="N725" s="306"/>
      <c r="O725" s="329"/>
      <c r="P725" s="305"/>
      <c r="Q725" s="305">
        <v>92200000</v>
      </c>
      <c r="R725" s="272"/>
      <c r="S725" s="273"/>
      <c r="T725" s="273"/>
      <c r="U725" s="273"/>
      <c r="V725" s="274"/>
      <c r="W725" s="275"/>
      <c r="X725" s="275"/>
      <c r="Y725" s="275"/>
      <c r="Z725" s="275"/>
      <c r="AA725" s="275"/>
      <c r="AB725" s="275"/>
      <c r="AC725" s="275"/>
      <c r="AD725" s="275"/>
      <c r="AE725" s="275"/>
      <c r="AF725" s="275"/>
      <c r="AG725" s="275"/>
      <c r="AH725" s="275"/>
      <c r="AI725" s="275"/>
      <c r="AJ725" s="276"/>
      <c r="AK725" s="276"/>
      <c r="AL725" s="277"/>
      <c r="AM725" s="278"/>
    </row>
    <row r="726" spans="1:39" s="262" customFormat="1">
      <c r="A726" s="72" t="s">
        <v>1468</v>
      </c>
      <c r="B726" s="252"/>
      <c r="C726" s="252"/>
      <c r="D726" s="252"/>
      <c r="E726" s="253"/>
      <c r="F726" s="253"/>
      <c r="G726" s="270"/>
      <c r="H726" s="270"/>
      <c r="I726" s="270"/>
      <c r="J726" s="271"/>
      <c r="K726" s="147" t="s">
        <v>1463</v>
      </c>
      <c r="L726" s="327">
        <f t="shared" si="103"/>
        <v>23000000</v>
      </c>
      <c r="M726" s="328"/>
      <c r="N726" s="306"/>
      <c r="O726" s="329"/>
      <c r="P726" s="327">
        <v>23000000</v>
      </c>
      <c r="Q726" s="305"/>
      <c r="R726" s="272"/>
      <c r="S726" s="273"/>
      <c r="T726" s="273"/>
      <c r="U726" s="273"/>
      <c r="V726" s="274"/>
      <c r="W726" s="275"/>
      <c r="X726" s="275"/>
      <c r="Y726" s="275"/>
      <c r="Z726" s="275"/>
      <c r="AA726" s="275"/>
      <c r="AB726" s="275"/>
      <c r="AC726" s="275"/>
      <c r="AD726" s="275"/>
      <c r="AE726" s="275"/>
      <c r="AF726" s="275"/>
      <c r="AG726" s="275"/>
      <c r="AH726" s="275"/>
      <c r="AI726" s="275"/>
      <c r="AJ726" s="276"/>
      <c r="AK726" s="276"/>
      <c r="AL726" s="277"/>
      <c r="AM726" s="278"/>
    </row>
    <row r="727" spans="1:39" s="262" customFormat="1">
      <c r="A727" s="72" t="s">
        <v>1468</v>
      </c>
      <c r="B727" s="252"/>
      <c r="C727" s="252"/>
      <c r="D727" s="252"/>
      <c r="E727" s="253"/>
      <c r="F727" s="253"/>
      <c r="G727" s="270"/>
      <c r="H727" s="270"/>
      <c r="I727" s="270"/>
      <c r="J727" s="271"/>
      <c r="K727" s="147" t="s">
        <v>1464</v>
      </c>
      <c r="L727" s="327">
        <f t="shared" si="103"/>
        <v>12000000</v>
      </c>
      <c r="M727" s="328"/>
      <c r="N727" s="306"/>
      <c r="O727" s="329"/>
      <c r="P727" s="327">
        <v>12000000</v>
      </c>
      <c r="Q727" s="305"/>
      <c r="R727" s="272"/>
      <c r="S727" s="273"/>
      <c r="T727" s="273"/>
      <c r="U727" s="273"/>
      <c r="V727" s="274"/>
      <c r="W727" s="275"/>
      <c r="X727" s="275"/>
      <c r="Y727" s="275"/>
      <c r="Z727" s="275"/>
      <c r="AA727" s="275"/>
      <c r="AB727" s="275"/>
      <c r="AC727" s="275"/>
      <c r="AD727" s="275"/>
      <c r="AE727" s="275"/>
      <c r="AF727" s="275"/>
      <c r="AG727" s="275"/>
      <c r="AH727" s="275"/>
      <c r="AI727" s="275"/>
      <c r="AJ727" s="276"/>
      <c r="AK727" s="276"/>
      <c r="AL727" s="277"/>
      <c r="AM727" s="278"/>
    </row>
    <row r="728" spans="1:39" s="262" customFormat="1">
      <c r="A728" s="72" t="s">
        <v>1468</v>
      </c>
      <c r="B728" s="252"/>
      <c r="C728" s="252"/>
      <c r="D728" s="252"/>
      <c r="E728" s="253"/>
      <c r="F728" s="253"/>
      <c r="G728" s="270"/>
      <c r="H728" s="270"/>
      <c r="I728" s="270"/>
      <c r="J728" s="271"/>
      <c r="K728" s="147" t="s">
        <v>1465</v>
      </c>
      <c r="L728" s="327">
        <f t="shared" si="103"/>
        <v>6500000</v>
      </c>
      <c r="M728" s="328"/>
      <c r="N728" s="306"/>
      <c r="O728" s="329"/>
      <c r="P728" s="327">
        <v>6500000</v>
      </c>
      <c r="Q728" s="305"/>
      <c r="R728" s="272"/>
      <c r="S728" s="273"/>
      <c r="T728" s="273"/>
      <c r="U728" s="273"/>
      <c r="V728" s="274"/>
      <c r="W728" s="275"/>
      <c r="X728" s="275"/>
      <c r="Y728" s="275"/>
      <c r="Z728" s="275"/>
      <c r="AA728" s="275"/>
      <c r="AB728" s="275"/>
      <c r="AC728" s="275"/>
      <c r="AD728" s="275"/>
      <c r="AE728" s="275"/>
      <c r="AF728" s="275"/>
      <c r="AG728" s="275"/>
      <c r="AH728" s="275"/>
      <c r="AI728" s="275"/>
      <c r="AJ728" s="276"/>
      <c r="AK728" s="276"/>
      <c r="AL728" s="277"/>
      <c r="AM728" s="278"/>
    </row>
    <row r="729" spans="1:39" s="262" customFormat="1">
      <c r="A729" s="72" t="s">
        <v>1468</v>
      </c>
      <c r="B729" s="252"/>
      <c r="C729" s="252"/>
      <c r="D729" s="252"/>
      <c r="E729" s="253"/>
      <c r="F729" s="253"/>
      <c r="G729" s="270"/>
      <c r="H729" s="270"/>
      <c r="I729" s="270"/>
      <c r="J729" s="271"/>
      <c r="K729" s="147" t="s">
        <v>1462</v>
      </c>
      <c r="L729" s="327">
        <f t="shared" si="103"/>
        <v>30500000</v>
      </c>
      <c r="M729" s="328"/>
      <c r="N729" s="306"/>
      <c r="O729" s="329"/>
      <c r="P729" s="327">
        <v>30500000</v>
      </c>
      <c r="Q729" s="305"/>
      <c r="R729" s="272"/>
      <c r="S729" s="273"/>
      <c r="T729" s="273"/>
      <c r="U729" s="273"/>
      <c r="V729" s="274"/>
      <c r="W729" s="275"/>
      <c r="X729" s="275"/>
      <c r="Y729" s="275"/>
      <c r="Z729" s="275"/>
      <c r="AA729" s="275"/>
      <c r="AB729" s="275"/>
      <c r="AC729" s="275"/>
      <c r="AD729" s="275"/>
      <c r="AE729" s="275"/>
      <c r="AF729" s="275"/>
      <c r="AG729" s="275"/>
      <c r="AH729" s="275"/>
      <c r="AI729" s="275"/>
      <c r="AJ729" s="276"/>
      <c r="AK729" s="276"/>
      <c r="AL729" s="277"/>
      <c r="AM729" s="278"/>
    </row>
    <row r="730" spans="1:39" s="27" customFormat="1">
      <c r="A730" s="72" t="s">
        <v>887</v>
      </c>
      <c r="B730" s="34"/>
      <c r="C730" s="72"/>
      <c r="D730" s="72"/>
      <c r="E730" s="120" t="s">
        <v>1469</v>
      </c>
      <c r="F730" s="120"/>
      <c r="G730" s="80" t="s">
        <v>84</v>
      </c>
      <c r="H730" s="80" t="s">
        <v>30</v>
      </c>
      <c r="I730" s="80" t="s">
        <v>31</v>
      </c>
      <c r="J730" s="81" t="s">
        <v>32</v>
      </c>
      <c r="K730" s="86" t="s">
        <v>86</v>
      </c>
      <c r="L730" s="293">
        <f>SUM(M730:Q730)</f>
        <v>64255940</v>
      </c>
      <c r="M730" s="294"/>
      <c r="N730" s="302">
        <v>28034340</v>
      </c>
      <c r="O730" s="304"/>
      <c r="P730" s="304"/>
      <c r="Q730" s="294">
        <v>36221600</v>
      </c>
      <c r="R730" s="62"/>
      <c r="S730" s="41">
        <f>N730-U730</f>
        <v>-211743960</v>
      </c>
      <c r="T730" s="41">
        <v>28034340</v>
      </c>
      <c r="U730" s="41">
        <f>5500000+111278300+36000000+93000000-6000000</f>
        <v>239778300</v>
      </c>
      <c r="V730" s="9">
        <v>3</v>
      </c>
      <c r="W730" s="19"/>
      <c r="X730" s="19"/>
      <c r="Y730" s="19"/>
      <c r="Z730" s="52"/>
      <c r="AA730" s="52">
        <v>6000000</v>
      </c>
      <c r="AB730" s="19">
        <v>245778300</v>
      </c>
      <c r="AC730" s="19"/>
      <c r="AD730" s="19">
        <v>93000000</v>
      </c>
      <c r="AE730" s="19"/>
      <c r="AF730" s="19">
        <v>5500000</v>
      </c>
      <c r="AG730" s="19">
        <f>36000000-6000000</f>
        <v>30000000</v>
      </c>
      <c r="AH730" s="19">
        <v>111278300</v>
      </c>
      <c r="AI730" s="52"/>
      <c r="AJ730" s="78">
        <v>100</v>
      </c>
      <c r="AK730" s="78">
        <v>2021</v>
      </c>
      <c r="AL730" s="83"/>
      <c r="AM730" s="84"/>
    </row>
    <row r="731" spans="1:39" s="281" customFormat="1">
      <c r="A731" s="72" t="s">
        <v>1468</v>
      </c>
      <c r="B731" s="253"/>
      <c r="C731" s="253"/>
      <c r="D731" s="253"/>
      <c r="E731" s="253"/>
      <c r="F731" s="253" t="s">
        <v>1461</v>
      </c>
      <c r="G731" s="270"/>
      <c r="H731" s="270"/>
      <c r="I731" s="270"/>
      <c r="J731" s="271"/>
      <c r="K731" s="147" t="s">
        <v>1466</v>
      </c>
      <c r="L731" s="327">
        <f>SUM(M731:Q731)</f>
        <v>56755940</v>
      </c>
      <c r="M731" s="328"/>
      <c r="N731" s="305">
        <v>28034340</v>
      </c>
      <c r="O731" s="305"/>
      <c r="P731" s="327"/>
      <c r="Q731" s="305">
        <v>28721600</v>
      </c>
      <c r="R731" s="272"/>
      <c r="S731" s="272"/>
      <c r="T731" s="272"/>
      <c r="U731" s="272"/>
      <c r="V731" s="279"/>
      <c r="W731" s="280"/>
      <c r="X731" s="280"/>
      <c r="Y731" s="280"/>
      <c r="Z731" s="280"/>
      <c r="AA731" s="280"/>
      <c r="AB731" s="280"/>
      <c r="AC731" s="280"/>
      <c r="AD731" s="280"/>
      <c r="AE731" s="280"/>
      <c r="AF731" s="280"/>
      <c r="AG731" s="280"/>
      <c r="AH731" s="280"/>
      <c r="AI731" s="280"/>
      <c r="AJ731" s="276"/>
      <c r="AK731" s="276"/>
      <c r="AL731" s="277"/>
      <c r="AM731" s="278"/>
    </row>
    <row r="732" spans="1:39" s="281" customFormat="1">
      <c r="A732" s="72" t="s">
        <v>1468</v>
      </c>
      <c r="B732" s="253"/>
      <c r="C732" s="253"/>
      <c r="D732" s="253"/>
      <c r="E732" s="253"/>
      <c r="F732" s="253"/>
      <c r="G732" s="270"/>
      <c r="H732" s="270"/>
      <c r="I732" s="270"/>
      <c r="J732" s="271"/>
      <c r="K732" s="147" t="s">
        <v>277</v>
      </c>
      <c r="L732" s="327">
        <f t="shared" ref="L732" si="104">SUM(M732:Q732)</f>
        <v>7500000</v>
      </c>
      <c r="M732" s="328"/>
      <c r="N732" s="330"/>
      <c r="O732" s="305"/>
      <c r="P732" s="327"/>
      <c r="Q732" s="305">
        <v>7500000</v>
      </c>
      <c r="R732" s="272"/>
      <c r="S732" s="272"/>
      <c r="T732" s="272"/>
      <c r="U732" s="272"/>
      <c r="V732" s="279"/>
      <c r="W732" s="280"/>
      <c r="X732" s="280"/>
      <c r="Y732" s="280"/>
      <c r="Z732" s="280"/>
      <c r="AA732" s="280"/>
      <c r="AB732" s="280"/>
      <c r="AC732" s="280"/>
      <c r="AD732" s="280"/>
      <c r="AE732" s="280"/>
      <c r="AF732" s="280"/>
      <c r="AG732" s="280"/>
      <c r="AH732" s="280"/>
      <c r="AI732" s="280"/>
      <c r="AJ732" s="276"/>
      <c r="AK732" s="276"/>
      <c r="AL732" s="277"/>
      <c r="AM732" s="278"/>
    </row>
    <row r="733" spans="1:39" s="198" customFormat="1">
      <c r="A733" s="193" t="s">
        <v>888</v>
      </c>
      <c r="B733" s="181" t="s">
        <v>193</v>
      </c>
      <c r="C733" s="181"/>
      <c r="D733" s="181"/>
      <c r="E733" s="182" t="s">
        <v>1225</v>
      </c>
      <c r="F733" s="182"/>
      <c r="G733" s="183" t="s">
        <v>87</v>
      </c>
      <c r="H733" s="183"/>
      <c r="I733" s="183"/>
      <c r="J733" s="184" t="s">
        <v>88</v>
      </c>
      <c r="K733" s="185"/>
      <c r="L733" s="287">
        <f>SUM(L735:L750)-L736</f>
        <v>38598100</v>
      </c>
      <c r="M733" s="287">
        <f t="shared" ref="M733:Q733" si="105">SUM(M735:M750)-M736</f>
        <v>250000</v>
      </c>
      <c r="N733" s="287">
        <f>SUM(N735:N750)-N736</f>
        <v>37404700</v>
      </c>
      <c r="O733" s="287">
        <f t="shared" si="105"/>
        <v>0</v>
      </c>
      <c r="P733" s="287">
        <f t="shared" si="105"/>
        <v>0</v>
      </c>
      <c r="Q733" s="287">
        <f t="shared" si="105"/>
        <v>943400</v>
      </c>
      <c r="R733" s="187">
        <f t="shared" ref="R733:R734" si="106">L733-M733-N733-O733-P733-Q733</f>
        <v>0</v>
      </c>
      <c r="S733" s="199"/>
      <c r="T733" s="187"/>
      <c r="U733" s="187">
        <f>SUM(U735:U750)</f>
        <v>40154700</v>
      </c>
      <c r="V733" s="187"/>
      <c r="W733" s="187"/>
      <c r="X733" s="187">
        <f>SUM(X735:X750)</f>
        <v>0</v>
      </c>
      <c r="Y733" s="187">
        <f>SUM(Y735:Y750)</f>
        <v>0</v>
      </c>
      <c r="Z733" s="187"/>
      <c r="AA733" s="187"/>
      <c r="AB733" s="187">
        <f>SUM(AB735:AB750)</f>
        <v>39354700</v>
      </c>
      <c r="AC733" s="187">
        <f>X733+Y733+AB733-N733</f>
        <v>1950000</v>
      </c>
      <c r="AD733" s="187">
        <f>SUM(AD736:AD750)</f>
        <v>0</v>
      </c>
      <c r="AE733" s="187">
        <f>SUM(AE736:AE750)</f>
        <v>0</v>
      </c>
      <c r="AF733" s="187">
        <f>SUM(AF736:AF750)</f>
        <v>0</v>
      </c>
      <c r="AG733" s="187">
        <f>SUM(AG736:AG750)</f>
        <v>0</v>
      </c>
      <c r="AH733" s="187">
        <f>SUM(AH736:AH750)</f>
        <v>3604700</v>
      </c>
      <c r="AI733" s="199"/>
      <c r="AJ733" s="187"/>
      <c r="AK733" s="185"/>
      <c r="AL733" s="196"/>
      <c r="AM733" s="197"/>
    </row>
    <row r="734" spans="1:39" s="198" customFormat="1">
      <c r="A734" s="193" t="s">
        <v>888</v>
      </c>
      <c r="B734" s="193"/>
      <c r="C734" s="193"/>
      <c r="D734" s="193"/>
      <c r="E734" s="182" t="s">
        <v>1225</v>
      </c>
      <c r="F734" s="182"/>
      <c r="G734" s="183" t="s">
        <v>89</v>
      </c>
      <c r="H734" s="183"/>
      <c r="I734" s="183"/>
      <c r="J734" s="190" t="s">
        <v>88</v>
      </c>
      <c r="K734" s="185"/>
      <c r="L734" s="290"/>
      <c r="M734" s="291"/>
      <c r="N734" s="297"/>
      <c r="O734" s="297"/>
      <c r="P734" s="297"/>
      <c r="Q734" s="297"/>
      <c r="R734" s="187">
        <f t="shared" si="106"/>
        <v>0</v>
      </c>
      <c r="S734" s="199">
        <f>N734-U734</f>
        <v>0</v>
      </c>
      <c r="T734" s="199"/>
      <c r="U734" s="199"/>
      <c r="V734" s="200"/>
      <c r="W734" s="199"/>
      <c r="X734" s="199"/>
      <c r="Y734" s="199"/>
      <c r="Z734" s="199"/>
      <c r="AA734" s="199"/>
      <c r="AB734" s="199"/>
      <c r="AC734" s="199"/>
      <c r="AD734" s="199"/>
      <c r="AE734" s="199"/>
      <c r="AF734" s="199"/>
      <c r="AG734" s="199"/>
      <c r="AH734" s="199"/>
      <c r="AI734" s="199"/>
      <c r="AJ734" s="199"/>
      <c r="AK734" s="185"/>
      <c r="AL734" s="196"/>
      <c r="AM734" s="197"/>
    </row>
    <row r="735" spans="1:39" s="27" customFormat="1" ht="33">
      <c r="A735" s="34" t="s">
        <v>888</v>
      </c>
      <c r="B735" s="34"/>
      <c r="C735" s="72"/>
      <c r="D735" s="72"/>
      <c r="E735" s="120" t="s">
        <v>1469</v>
      </c>
      <c r="F735" s="120"/>
      <c r="G735" s="87" t="s">
        <v>260</v>
      </c>
      <c r="H735" s="87" t="s">
        <v>15</v>
      </c>
      <c r="I735" s="87" t="s">
        <v>16</v>
      </c>
      <c r="J735" s="81" t="s">
        <v>261</v>
      </c>
      <c r="K735" s="82" t="s">
        <v>18</v>
      </c>
      <c r="L735" s="179">
        <f t="shared" ref="L735:L750" si="107">SUM(M735:Q735)</f>
        <v>250000</v>
      </c>
      <c r="M735" s="323">
        <v>250000</v>
      </c>
      <c r="N735" s="310"/>
      <c r="O735" s="294"/>
      <c r="P735" s="294"/>
      <c r="Q735" s="294"/>
      <c r="R735" s="70"/>
      <c r="S735" s="41" t="e">
        <f>#REF!-U735</f>
        <v>#REF!</v>
      </c>
      <c r="T735" s="70"/>
      <c r="U735" s="70">
        <v>250000</v>
      </c>
      <c r="V735" s="9">
        <v>3</v>
      </c>
      <c r="W735" s="19"/>
      <c r="X735" s="19"/>
      <c r="Y735" s="19"/>
      <c r="Z735" s="52"/>
      <c r="AA735" s="52"/>
      <c r="AB735" s="19">
        <v>250000</v>
      </c>
      <c r="AC735" s="19"/>
      <c r="AD735" s="19"/>
      <c r="AE735" s="19"/>
      <c r="AF735" s="19"/>
      <c r="AG735" s="19"/>
      <c r="AH735" s="19"/>
      <c r="AI735" s="52">
        <f>N733-AH733</f>
        <v>33800000</v>
      </c>
      <c r="AJ735" s="78"/>
      <c r="AK735" s="78">
        <v>2021</v>
      </c>
      <c r="AL735" s="83"/>
      <c r="AM735" s="85"/>
    </row>
    <row r="736" spans="1:39" s="27" customFormat="1" ht="33">
      <c r="A736" s="34" t="s">
        <v>888</v>
      </c>
      <c r="B736" s="34"/>
      <c r="C736" s="72"/>
      <c r="D736" s="72"/>
      <c r="E736" s="120" t="s">
        <v>1469</v>
      </c>
      <c r="F736" s="120"/>
      <c r="G736" s="87">
        <v>2017670</v>
      </c>
      <c r="H736" s="87">
        <v>7670</v>
      </c>
      <c r="I736" s="87" t="s">
        <v>31</v>
      </c>
      <c r="J736" s="81" t="s">
        <v>32</v>
      </c>
      <c r="K736" s="86" t="s">
        <v>90</v>
      </c>
      <c r="L736" s="293">
        <f>SUM(M736:Q736)</f>
        <v>16548100</v>
      </c>
      <c r="M736" s="294"/>
      <c r="N736" s="294">
        <f>SUM(N737:N746)</f>
        <v>15604700</v>
      </c>
      <c r="O736" s="304"/>
      <c r="P736" s="304"/>
      <c r="Q736" s="294">
        <v>943400</v>
      </c>
      <c r="R736" s="70"/>
      <c r="S736" s="41">
        <f>N736-U736</f>
        <v>0</v>
      </c>
      <c r="T736" s="67">
        <v>3604700</v>
      </c>
      <c r="U736" s="70">
        <f>3604700+12000000</f>
        <v>15604700</v>
      </c>
      <c r="V736" s="9">
        <v>3</v>
      </c>
      <c r="W736" s="19"/>
      <c r="X736" s="19"/>
      <c r="Y736" s="19"/>
      <c r="Z736" s="52"/>
      <c r="AA736" s="52"/>
      <c r="AB736" s="19">
        <v>15604700</v>
      </c>
      <c r="AC736" s="19"/>
      <c r="AD736" s="19"/>
      <c r="AE736" s="19"/>
      <c r="AF736" s="19"/>
      <c r="AG736" s="19"/>
      <c r="AH736" s="19">
        <v>3604700</v>
      </c>
      <c r="AI736" s="52"/>
      <c r="AJ736" s="78">
        <v>100</v>
      </c>
      <c r="AK736" s="78">
        <v>2021</v>
      </c>
      <c r="AL736" s="83"/>
      <c r="AM736" s="85"/>
    </row>
    <row r="737" spans="1:39" s="66" customFormat="1">
      <c r="A737" s="72"/>
      <c r="B737" s="72"/>
      <c r="C737" s="72"/>
      <c r="D737" s="72"/>
      <c r="E737" s="120"/>
      <c r="F737" s="253" t="s">
        <v>1461</v>
      </c>
      <c r="G737" s="87"/>
      <c r="H737" s="87"/>
      <c r="I737" s="87"/>
      <c r="J737" s="81"/>
      <c r="K737" s="147" t="s">
        <v>1470</v>
      </c>
      <c r="L737" s="303">
        <f>SUM(M737:Q737)</f>
        <v>4548100</v>
      </c>
      <c r="M737" s="294"/>
      <c r="N737" s="303">
        <v>3604700</v>
      </c>
      <c r="O737" s="360"/>
      <c r="P737" s="360"/>
      <c r="Q737" s="305">
        <v>943400</v>
      </c>
      <c r="R737" s="70"/>
      <c r="S737" s="41"/>
      <c r="T737" s="67"/>
      <c r="U737" s="70"/>
      <c r="V737" s="69"/>
      <c r="W737" s="67"/>
      <c r="X737" s="67"/>
      <c r="Y737" s="67"/>
      <c r="Z737" s="67"/>
      <c r="AA737" s="67"/>
      <c r="AB737" s="67"/>
      <c r="AC737" s="67"/>
      <c r="AD737" s="67"/>
      <c r="AE737" s="67"/>
      <c r="AF737" s="67"/>
      <c r="AG737" s="67"/>
      <c r="AH737" s="67"/>
      <c r="AI737" s="67"/>
      <c r="AJ737" s="78"/>
      <c r="AK737" s="78"/>
      <c r="AL737" s="83"/>
      <c r="AM737" s="85"/>
    </row>
    <row r="738" spans="1:39" s="66" customFormat="1">
      <c r="A738" s="72"/>
      <c r="B738" s="72"/>
      <c r="C738" s="72"/>
      <c r="D738" s="72"/>
      <c r="E738" s="120"/>
      <c r="F738" s="120"/>
      <c r="G738" s="87"/>
      <c r="H738" s="87"/>
      <c r="I738" s="87"/>
      <c r="J738" s="81"/>
      <c r="K738" s="148" t="s">
        <v>1471</v>
      </c>
      <c r="L738" s="303">
        <f t="shared" si="107"/>
        <v>1517022</v>
      </c>
      <c r="M738" s="294"/>
      <c r="N738" s="303">
        <v>1517022</v>
      </c>
      <c r="O738" s="360"/>
      <c r="P738" s="360"/>
      <c r="Q738" s="305"/>
      <c r="R738" s="70"/>
      <c r="S738" s="41"/>
      <c r="T738" s="67"/>
      <c r="U738" s="70"/>
      <c r="V738" s="69"/>
      <c r="W738" s="67"/>
      <c r="X738" s="67"/>
      <c r="Y738" s="67"/>
      <c r="Z738" s="67"/>
      <c r="AA738" s="67"/>
      <c r="AB738" s="67"/>
      <c r="AC738" s="67"/>
      <c r="AD738" s="67"/>
      <c r="AE738" s="67"/>
      <c r="AF738" s="67"/>
      <c r="AG738" s="67"/>
      <c r="AH738" s="67"/>
      <c r="AI738" s="67"/>
      <c r="AJ738" s="78"/>
      <c r="AK738" s="78"/>
      <c r="AL738" s="83"/>
      <c r="AM738" s="85"/>
    </row>
    <row r="739" spans="1:39" s="66" customFormat="1" ht="30.75">
      <c r="A739" s="72"/>
      <c r="B739" s="72"/>
      <c r="C739" s="72"/>
      <c r="D739" s="72"/>
      <c r="E739" s="120"/>
      <c r="F739" s="120"/>
      <c r="G739" s="87"/>
      <c r="H739" s="87"/>
      <c r="I739" s="87"/>
      <c r="J739" s="81"/>
      <c r="K739" s="148" t="s">
        <v>1472</v>
      </c>
      <c r="L739" s="303">
        <f t="shared" si="107"/>
        <v>2528574</v>
      </c>
      <c r="M739" s="294"/>
      <c r="N739" s="303">
        <v>2528574</v>
      </c>
      <c r="O739" s="360"/>
      <c r="P739" s="360"/>
      <c r="Q739" s="305"/>
      <c r="R739" s="70"/>
      <c r="S739" s="41"/>
      <c r="T739" s="67"/>
      <c r="U739" s="70"/>
      <c r="V739" s="69"/>
      <c r="W739" s="67"/>
      <c r="X739" s="67"/>
      <c r="Y739" s="67"/>
      <c r="Z739" s="67"/>
      <c r="AA739" s="67"/>
      <c r="AB739" s="67"/>
      <c r="AC739" s="67"/>
      <c r="AD739" s="67"/>
      <c r="AE739" s="67"/>
      <c r="AF739" s="67"/>
      <c r="AG739" s="67"/>
      <c r="AH739" s="67"/>
      <c r="AI739" s="67"/>
      <c r="AJ739" s="78"/>
      <c r="AK739" s="78"/>
      <c r="AL739" s="83"/>
      <c r="AM739" s="85"/>
    </row>
    <row r="740" spans="1:39" s="66" customFormat="1" ht="30.75">
      <c r="A740" s="72"/>
      <c r="B740" s="72"/>
      <c r="C740" s="72"/>
      <c r="D740" s="72"/>
      <c r="E740" s="120"/>
      <c r="F740" s="120"/>
      <c r="G740" s="87"/>
      <c r="H740" s="87"/>
      <c r="I740" s="87"/>
      <c r="J740" s="81"/>
      <c r="K740" s="148" t="s">
        <v>1473</v>
      </c>
      <c r="L740" s="303">
        <f t="shared" si="107"/>
        <v>900000</v>
      </c>
      <c r="M740" s="294"/>
      <c r="N740" s="303">
        <v>900000</v>
      </c>
      <c r="O740" s="360"/>
      <c r="P740" s="360"/>
      <c r="Q740" s="305"/>
      <c r="R740" s="70"/>
      <c r="S740" s="41"/>
      <c r="T740" s="67"/>
      <c r="U740" s="70"/>
      <c r="V740" s="69"/>
      <c r="W740" s="67"/>
      <c r="X740" s="67"/>
      <c r="Y740" s="67"/>
      <c r="Z740" s="67"/>
      <c r="AA740" s="67"/>
      <c r="AB740" s="67"/>
      <c r="AC740" s="67"/>
      <c r="AD740" s="67"/>
      <c r="AE740" s="67"/>
      <c r="AF740" s="67"/>
      <c r="AG740" s="67"/>
      <c r="AH740" s="67"/>
      <c r="AI740" s="67"/>
      <c r="AJ740" s="78"/>
      <c r="AK740" s="78"/>
      <c r="AL740" s="83"/>
      <c r="AM740" s="85"/>
    </row>
    <row r="741" spans="1:39" s="66" customFormat="1" ht="60.75">
      <c r="A741" s="72"/>
      <c r="B741" s="72"/>
      <c r="C741" s="72"/>
      <c r="D741" s="72"/>
      <c r="E741" s="120"/>
      <c r="F741" s="120"/>
      <c r="G741" s="87"/>
      <c r="H741" s="87"/>
      <c r="I741" s="87"/>
      <c r="J741" s="81"/>
      <c r="K741" s="148" t="s">
        <v>1474</v>
      </c>
      <c r="L741" s="303">
        <f t="shared" si="107"/>
        <v>1248448</v>
      </c>
      <c r="M741" s="294"/>
      <c r="N741" s="303">
        <v>1248448</v>
      </c>
      <c r="O741" s="360"/>
      <c r="P741" s="360"/>
      <c r="Q741" s="305"/>
      <c r="R741" s="70"/>
      <c r="S741" s="41"/>
      <c r="T741" s="67"/>
      <c r="U741" s="70"/>
      <c r="V741" s="69"/>
      <c r="W741" s="67"/>
      <c r="X741" s="67"/>
      <c r="Y741" s="67"/>
      <c r="Z741" s="67"/>
      <c r="AA741" s="67"/>
      <c r="AB741" s="67"/>
      <c r="AC741" s="67"/>
      <c r="AD741" s="67"/>
      <c r="AE741" s="67"/>
      <c r="AF741" s="67"/>
      <c r="AG741" s="67"/>
      <c r="AH741" s="67"/>
      <c r="AI741" s="67"/>
      <c r="AJ741" s="78"/>
      <c r="AK741" s="78"/>
      <c r="AL741" s="83"/>
      <c r="AM741" s="85"/>
    </row>
    <row r="742" spans="1:39" s="66" customFormat="1" ht="30.75">
      <c r="A742" s="72"/>
      <c r="B742" s="72"/>
      <c r="C742" s="72"/>
      <c r="D742" s="72"/>
      <c r="E742" s="120"/>
      <c r="F742" s="120"/>
      <c r="G742" s="87"/>
      <c r="H742" s="87"/>
      <c r="I742" s="87"/>
      <c r="J742" s="81"/>
      <c r="K742" s="148" t="s">
        <v>1475</v>
      </c>
      <c r="L742" s="303">
        <f t="shared" si="107"/>
        <v>2302742</v>
      </c>
      <c r="M742" s="294"/>
      <c r="N742" s="303">
        <v>2302742</v>
      </c>
      <c r="O742" s="360"/>
      <c r="P742" s="360"/>
      <c r="Q742" s="305"/>
      <c r="R742" s="70"/>
      <c r="S742" s="41"/>
      <c r="T742" s="67"/>
      <c r="U742" s="70"/>
      <c r="V742" s="69"/>
      <c r="W742" s="67"/>
      <c r="X742" s="67"/>
      <c r="Y742" s="67"/>
      <c r="Z742" s="67"/>
      <c r="AA742" s="67"/>
      <c r="AB742" s="67"/>
      <c r="AC742" s="67"/>
      <c r="AD742" s="67"/>
      <c r="AE742" s="67"/>
      <c r="AF742" s="67"/>
      <c r="AG742" s="67"/>
      <c r="AH742" s="67"/>
      <c r="AI742" s="67"/>
      <c r="AJ742" s="78"/>
      <c r="AK742" s="78"/>
      <c r="AL742" s="83"/>
      <c r="AM742" s="85"/>
    </row>
    <row r="743" spans="1:39" s="66" customFormat="1" ht="30.75">
      <c r="A743" s="72"/>
      <c r="B743" s="72"/>
      <c r="C743" s="72"/>
      <c r="D743" s="72"/>
      <c r="E743" s="120"/>
      <c r="F743" s="120"/>
      <c r="G743" s="87"/>
      <c r="H743" s="87"/>
      <c r="I743" s="87"/>
      <c r="J743" s="81"/>
      <c r="K743" s="148" t="s">
        <v>1476</v>
      </c>
      <c r="L743" s="303">
        <f t="shared" si="107"/>
        <v>300000</v>
      </c>
      <c r="M743" s="294"/>
      <c r="N743" s="303">
        <v>300000</v>
      </c>
      <c r="O743" s="360"/>
      <c r="P743" s="360"/>
      <c r="Q743" s="305"/>
      <c r="R743" s="70"/>
      <c r="S743" s="41"/>
      <c r="T743" s="67"/>
      <c r="U743" s="70"/>
      <c r="V743" s="69"/>
      <c r="W743" s="67"/>
      <c r="X743" s="67"/>
      <c r="Y743" s="67"/>
      <c r="Z743" s="67"/>
      <c r="AA743" s="67"/>
      <c r="AB743" s="67"/>
      <c r="AC743" s="67"/>
      <c r="AD743" s="67"/>
      <c r="AE743" s="67"/>
      <c r="AF743" s="67"/>
      <c r="AG743" s="67"/>
      <c r="AH743" s="67"/>
      <c r="AI743" s="67"/>
      <c r="AJ743" s="78"/>
      <c r="AK743" s="78"/>
      <c r="AL743" s="83"/>
      <c r="AM743" s="85"/>
    </row>
    <row r="744" spans="1:39" s="66" customFormat="1" ht="30.75">
      <c r="A744" s="72"/>
      <c r="B744" s="72"/>
      <c r="C744" s="72"/>
      <c r="D744" s="72"/>
      <c r="E744" s="120"/>
      <c r="F744" s="120"/>
      <c r="G744" s="87"/>
      <c r="H744" s="87"/>
      <c r="I744" s="87"/>
      <c r="J744" s="81"/>
      <c r="K744" s="148" t="s">
        <v>1477</v>
      </c>
      <c r="L744" s="303">
        <f t="shared" si="107"/>
        <v>1660000</v>
      </c>
      <c r="M744" s="294"/>
      <c r="N744" s="303">
        <v>1660000</v>
      </c>
      <c r="O744" s="360"/>
      <c r="P744" s="360"/>
      <c r="Q744" s="305"/>
      <c r="R744" s="70"/>
      <c r="S744" s="41"/>
      <c r="T744" s="67"/>
      <c r="U744" s="70"/>
      <c r="V744" s="69"/>
      <c r="W744" s="67"/>
      <c r="X744" s="67"/>
      <c r="Y744" s="67"/>
      <c r="Z744" s="67"/>
      <c r="AA744" s="67"/>
      <c r="AB744" s="67"/>
      <c r="AC744" s="67"/>
      <c r="AD744" s="67"/>
      <c r="AE744" s="67"/>
      <c r="AF744" s="67"/>
      <c r="AG744" s="67"/>
      <c r="AH744" s="67"/>
      <c r="AI744" s="67"/>
      <c r="AJ744" s="78"/>
      <c r="AK744" s="78"/>
      <c r="AL744" s="83"/>
      <c r="AM744" s="85"/>
    </row>
    <row r="745" spans="1:39" s="66" customFormat="1" ht="30.75">
      <c r="A745" s="72"/>
      <c r="B745" s="72"/>
      <c r="C745" s="72"/>
      <c r="D745" s="72"/>
      <c r="E745" s="120"/>
      <c r="F745" s="120"/>
      <c r="G745" s="87"/>
      <c r="H745" s="87"/>
      <c r="I745" s="87"/>
      <c r="J745" s="81"/>
      <c r="K745" s="148" t="s">
        <v>1478</v>
      </c>
      <c r="L745" s="303">
        <f t="shared" si="107"/>
        <v>920000</v>
      </c>
      <c r="M745" s="294"/>
      <c r="N745" s="303">
        <v>920000</v>
      </c>
      <c r="O745" s="360"/>
      <c r="P745" s="360"/>
      <c r="Q745" s="305"/>
      <c r="R745" s="70"/>
      <c r="S745" s="41"/>
      <c r="T745" s="67"/>
      <c r="U745" s="70"/>
      <c r="V745" s="69"/>
      <c r="W745" s="67"/>
      <c r="X745" s="67"/>
      <c r="Y745" s="67"/>
      <c r="Z745" s="67"/>
      <c r="AA745" s="67"/>
      <c r="AB745" s="67"/>
      <c r="AC745" s="67"/>
      <c r="AD745" s="67"/>
      <c r="AE745" s="67"/>
      <c r="AF745" s="67"/>
      <c r="AG745" s="67"/>
      <c r="AH745" s="67"/>
      <c r="AI745" s="67"/>
      <c r="AJ745" s="78"/>
      <c r="AK745" s="78"/>
      <c r="AL745" s="83"/>
      <c r="AM745" s="85"/>
    </row>
    <row r="746" spans="1:39" s="66" customFormat="1" ht="30.75">
      <c r="A746" s="72"/>
      <c r="B746" s="72"/>
      <c r="C746" s="72"/>
      <c r="D746" s="72"/>
      <c r="E746" s="120"/>
      <c r="F746" s="120"/>
      <c r="G746" s="87"/>
      <c r="H746" s="87"/>
      <c r="I746" s="87"/>
      <c r="J746" s="81"/>
      <c r="K746" s="148" t="s">
        <v>1479</v>
      </c>
      <c r="L746" s="303">
        <f t="shared" si="107"/>
        <v>623214</v>
      </c>
      <c r="M746" s="294"/>
      <c r="N746" s="303">
        <v>623214</v>
      </c>
      <c r="O746" s="360"/>
      <c r="P746" s="360"/>
      <c r="Q746" s="305"/>
      <c r="R746" s="70"/>
      <c r="S746" s="41"/>
      <c r="T746" s="67"/>
      <c r="U746" s="70"/>
      <c r="V746" s="69"/>
      <c r="W746" s="67"/>
      <c r="X746" s="67"/>
      <c r="Y746" s="67"/>
      <c r="Z746" s="67"/>
      <c r="AA746" s="67"/>
      <c r="AB746" s="67"/>
      <c r="AC746" s="67"/>
      <c r="AD746" s="67"/>
      <c r="AE746" s="67"/>
      <c r="AF746" s="67"/>
      <c r="AG746" s="67"/>
      <c r="AH746" s="67"/>
      <c r="AI746" s="67"/>
      <c r="AJ746" s="78"/>
      <c r="AK746" s="78"/>
      <c r="AL746" s="83"/>
      <c r="AM746" s="85"/>
    </row>
    <row r="747" spans="1:39" s="27" customFormat="1" ht="33" customHeight="1">
      <c r="A747" s="34" t="s">
        <v>888</v>
      </c>
      <c r="B747" s="34"/>
      <c r="C747" s="72"/>
      <c r="D747" s="72"/>
      <c r="E747" s="120" t="s">
        <v>1469</v>
      </c>
      <c r="F747" s="120"/>
      <c r="G747" s="87" t="s">
        <v>91</v>
      </c>
      <c r="H747" s="87" t="s">
        <v>30</v>
      </c>
      <c r="I747" s="87" t="s">
        <v>31</v>
      </c>
      <c r="J747" s="125" t="s">
        <v>32</v>
      </c>
      <c r="K747" s="157" t="s">
        <v>92</v>
      </c>
      <c r="L747" s="293">
        <f t="shared" si="107"/>
        <v>11400000</v>
      </c>
      <c r="M747" s="294"/>
      <c r="N747" s="294">
        <f>10000000-1000000+3200000-800000</f>
        <v>11400000</v>
      </c>
      <c r="O747" s="304"/>
      <c r="P747" s="304"/>
      <c r="Q747" s="304"/>
      <c r="R747" s="78"/>
      <c r="S747" s="41">
        <f>N747-U747</f>
        <v>0</v>
      </c>
      <c r="T747" s="118"/>
      <c r="U747" s="118">
        <f>10000000-1000000+3200000-800000</f>
        <v>11400000</v>
      </c>
      <c r="V747" s="9">
        <v>3</v>
      </c>
      <c r="W747" s="19"/>
      <c r="X747" s="19"/>
      <c r="Y747" s="67"/>
      <c r="Z747" s="52"/>
      <c r="AA747" s="52">
        <v>1000000</v>
      </c>
      <c r="AB747" s="19">
        <v>10000000</v>
      </c>
      <c r="AC747" s="67" t="s">
        <v>1236</v>
      </c>
      <c r="AD747" s="19"/>
      <c r="AE747" s="19"/>
      <c r="AF747" s="19"/>
      <c r="AG747" s="19"/>
      <c r="AH747" s="19"/>
      <c r="AI747" s="67"/>
      <c r="AJ747" s="78">
        <v>100</v>
      </c>
      <c r="AK747" s="156">
        <v>2021</v>
      </c>
      <c r="AL747" s="158"/>
      <c r="AM747" s="85"/>
    </row>
    <row r="748" spans="1:39" s="27" customFormat="1" ht="33">
      <c r="A748" s="34" t="s">
        <v>888</v>
      </c>
      <c r="B748" s="34"/>
      <c r="C748" s="72"/>
      <c r="D748" s="72"/>
      <c r="E748" s="120" t="s">
        <v>1469</v>
      </c>
      <c r="F748" s="120"/>
      <c r="G748" s="87" t="s">
        <v>91</v>
      </c>
      <c r="H748" s="87" t="s">
        <v>30</v>
      </c>
      <c r="I748" s="87" t="s">
        <v>31</v>
      </c>
      <c r="J748" s="81" t="s">
        <v>32</v>
      </c>
      <c r="K748" s="86" t="s">
        <v>93</v>
      </c>
      <c r="L748" s="293">
        <f t="shared" si="107"/>
        <v>3900000</v>
      </c>
      <c r="M748" s="294"/>
      <c r="N748" s="294">
        <f>4500000-600000</f>
        <v>3900000</v>
      </c>
      <c r="O748" s="304"/>
      <c r="P748" s="304"/>
      <c r="Q748" s="304"/>
      <c r="R748" s="78"/>
      <c r="S748" s="41">
        <f>N748-U748</f>
        <v>0</v>
      </c>
      <c r="T748" s="62"/>
      <c r="U748" s="62">
        <f>4500000-600000</f>
        <v>3900000</v>
      </c>
      <c r="V748" s="9">
        <v>3</v>
      </c>
      <c r="W748" s="19"/>
      <c r="X748" s="19"/>
      <c r="Y748" s="19"/>
      <c r="Z748" s="52"/>
      <c r="AA748" s="52">
        <f>600000</f>
        <v>600000</v>
      </c>
      <c r="AB748" s="19">
        <v>4500000</v>
      </c>
      <c r="AC748" s="19"/>
      <c r="AD748" s="19"/>
      <c r="AE748" s="19"/>
      <c r="AF748" s="19"/>
      <c r="AG748" s="19"/>
      <c r="AH748" s="19"/>
      <c r="AI748" s="52"/>
      <c r="AJ748" s="78">
        <v>100</v>
      </c>
      <c r="AK748" s="78">
        <v>2021</v>
      </c>
      <c r="AL748" s="83"/>
      <c r="AM748" s="85"/>
    </row>
    <row r="749" spans="1:39" s="27" customFormat="1" ht="33">
      <c r="A749" s="34" t="s">
        <v>888</v>
      </c>
      <c r="B749" s="34"/>
      <c r="C749" s="72"/>
      <c r="D749" s="72"/>
      <c r="E749" s="120" t="s">
        <v>1469</v>
      </c>
      <c r="F749" s="120"/>
      <c r="G749" s="87" t="s">
        <v>91</v>
      </c>
      <c r="H749" s="87" t="s">
        <v>30</v>
      </c>
      <c r="I749" s="87" t="s">
        <v>31</v>
      </c>
      <c r="J749" s="81" t="s">
        <v>32</v>
      </c>
      <c r="K749" s="86" t="s">
        <v>94</v>
      </c>
      <c r="L749" s="293">
        <f t="shared" si="107"/>
        <v>4000000</v>
      </c>
      <c r="M749" s="294"/>
      <c r="N749" s="294">
        <v>4000000</v>
      </c>
      <c r="O749" s="304"/>
      <c r="P749" s="304"/>
      <c r="Q749" s="304"/>
      <c r="R749" s="78"/>
      <c r="S749" s="41">
        <f>N749-U749</f>
        <v>0</v>
      </c>
      <c r="T749" s="70"/>
      <c r="U749" s="70">
        <v>4000000</v>
      </c>
      <c r="V749" s="9">
        <v>3</v>
      </c>
      <c r="W749" s="19"/>
      <c r="X749" s="19"/>
      <c r="Y749" s="19"/>
      <c r="Z749" s="52"/>
      <c r="AA749" s="52"/>
      <c r="AB749" s="19">
        <v>4000000</v>
      </c>
      <c r="AC749" s="19"/>
      <c r="AD749" s="19"/>
      <c r="AE749" s="19"/>
      <c r="AF749" s="19"/>
      <c r="AG749" s="19"/>
      <c r="AH749" s="19"/>
      <c r="AI749" s="52"/>
      <c r="AJ749" s="78">
        <v>100</v>
      </c>
      <c r="AK749" s="78">
        <v>2021</v>
      </c>
      <c r="AL749" s="83"/>
      <c r="AM749" s="85"/>
    </row>
    <row r="750" spans="1:39" s="27" customFormat="1">
      <c r="A750" s="34" t="s">
        <v>888</v>
      </c>
      <c r="B750" s="34"/>
      <c r="C750" s="72"/>
      <c r="D750" s="72"/>
      <c r="E750" s="120" t="s">
        <v>1469</v>
      </c>
      <c r="F750" s="120"/>
      <c r="G750" s="87" t="s">
        <v>91</v>
      </c>
      <c r="H750" s="87" t="s">
        <v>30</v>
      </c>
      <c r="I750" s="87" t="s">
        <v>31</v>
      </c>
      <c r="J750" s="81" t="s">
        <v>32</v>
      </c>
      <c r="K750" s="86" t="s">
        <v>95</v>
      </c>
      <c r="L750" s="293">
        <f t="shared" si="107"/>
        <v>2500000</v>
      </c>
      <c r="M750" s="294"/>
      <c r="N750" s="294">
        <f>5000000-2500000</f>
        <v>2500000</v>
      </c>
      <c r="O750" s="294"/>
      <c r="P750" s="294"/>
      <c r="Q750" s="294"/>
      <c r="R750" s="70"/>
      <c r="S750" s="41">
        <f>N750-U750</f>
        <v>-2500000</v>
      </c>
      <c r="T750" s="70"/>
      <c r="U750" s="70">
        <v>5000000</v>
      </c>
      <c r="V750" s="9">
        <v>3</v>
      </c>
      <c r="W750" s="19"/>
      <c r="X750" s="19"/>
      <c r="Y750" s="19"/>
      <c r="Z750" s="52"/>
      <c r="AA750" s="52"/>
      <c r="AB750" s="19">
        <v>5000000</v>
      </c>
      <c r="AC750" s="19"/>
      <c r="AD750" s="19"/>
      <c r="AE750" s="19"/>
      <c r="AF750" s="19"/>
      <c r="AG750" s="19"/>
      <c r="AH750" s="19"/>
      <c r="AI750" s="52"/>
      <c r="AJ750" s="78">
        <v>100</v>
      </c>
      <c r="AK750" s="78">
        <v>2021</v>
      </c>
      <c r="AL750" s="83"/>
      <c r="AM750" s="85"/>
    </row>
    <row r="751" spans="1:39" s="198" customFormat="1">
      <c r="A751" s="193" t="s">
        <v>889</v>
      </c>
      <c r="B751" s="181" t="s">
        <v>193</v>
      </c>
      <c r="C751" s="181"/>
      <c r="D751" s="181"/>
      <c r="E751" s="182" t="s">
        <v>1225</v>
      </c>
      <c r="F751" s="182"/>
      <c r="G751" s="219" t="s">
        <v>96</v>
      </c>
      <c r="H751" s="219"/>
      <c r="I751" s="219"/>
      <c r="J751" s="184" t="s">
        <v>97</v>
      </c>
      <c r="K751" s="201"/>
      <c r="L751" s="287">
        <f>SUM(L753:L758)-L754</f>
        <v>39100376</v>
      </c>
      <c r="M751" s="287">
        <f t="shared" ref="M751:Q751" si="108">SUM(M753:M758)-M754</f>
        <v>28687197</v>
      </c>
      <c r="N751" s="287">
        <f t="shared" si="108"/>
        <v>4663217</v>
      </c>
      <c r="O751" s="287">
        <f t="shared" si="108"/>
        <v>0</v>
      </c>
      <c r="P751" s="287">
        <f t="shared" si="108"/>
        <v>5361162</v>
      </c>
      <c r="Q751" s="287">
        <f t="shared" si="108"/>
        <v>388800</v>
      </c>
      <c r="R751" s="187">
        <f t="shared" ref="R751:R752" si="109">L751-M751-N751-O751-P751-Q751</f>
        <v>0</v>
      </c>
      <c r="S751" s="187"/>
      <c r="T751" s="187"/>
      <c r="U751" s="187">
        <f>SUM(U753:U758)</f>
        <v>34415938</v>
      </c>
      <c r="V751" s="187">
        <f>SUM(V753:V758)</f>
        <v>3</v>
      </c>
      <c r="W751" s="187">
        <f>SUM(W753:W758)</f>
        <v>0</v>
      </c>
      <c r="X751" s="187">
        <f>SUM(X753:X758)</f>
        <v>0</v>
      </c>
      <c r="Y751" s="187">
        <f>SUM(Y753:Y758)</f>
        <v>0</v>
      </c>
      <c r="Z751" s="187"/>
      <c r="AA751" s="187"/>
      <c r="AB751" s="187">
        <f>SUM(AB754:AB754)</f>
        <v>34415938</v>
      </c>
      <c r="AC751" s="187">
        <f>X751+Y751+AB751-N751</f>
        <v>29752721</v>
      </c>
      <c r="AD751" s="187">
        <f>SUM(AD754:AD754)</f>
        <v>0</v>
      </c>
      <c r="AE751" s="187">
        <f>SUM(AE754:AE754)</f>
        <v>0</v>
      </c>
      <c r="AF751" s="187">
        <f>SUM(AF754:AF754)</f>
        <v>0</v>
      </c>
      <c r="AG751" s="187">
        <f>SUM(AG754:AG754)</f>
        <v>32905000</v>
      </c>
      <c r="AH751" s="187">
        <f>SUM(AH754:AH754)</f>
        <v>1510938</v>
      </c>
      <c r="AI751" s="199"/>
      <c r="AJ751" s="187"/>
      <c r="AK751" s="185"/>
      <c r="AL751" s="196"/>
      <c r="AM751" s="197"/>
    </row>
    <row r="752" spans="1:39" s="198" customFormat="1">
      <c r="A752" s="193" t="s">
        <v>889</v>
      </c>
      <c r="B752" s="193"/>
      <c r="C752" s="193"/>
      <c r="D752" s="193"/>
      <c r="E752" s="182" t="s">
        <v>1225</v>
      </c>
      <c r="F752" s="182"/>
      <c r="G752" s="219" t="s">
        <v>98</v>
      </c>
      <c r="H752" s="219"/>
      <c r="I752" s="219"/>
      <c r="J752" s="190" t="s">
        <v>97</v>
      </c>
      <c r="K752" s="201"/>
      <c r="L752" s="290"/>
      <c r="M752" s="291"/>
      <c r="N752" s="297"/>
      <c r="O752" s="291"/>
      <c r="P752" s="291"/>
      <c r="Q752" s="291"/>
      <c r="R752" s="187">
        <f t="shared" si="109"/>
        <v>0</v>
      </c>
      <c r="S752" s="199"/>
      <c r="T752" s="199"/>
      <c r="U752" s="199"/>
      <c r="V752" s="200"/>
      <c r="W752" s="199"/>
      <c r="X752" s="199"/>
      <c r="Y752" s="199"/>
      <c r="Z752" s="199"/>
      <c r="AA752" s="199"/>
      <c r="AB752" s="199"/>
      <c r="AC752" s="199"/>
      <c r="AD752" s="199"/>
      <c r="AE752" s="199"/>
      <c r="AF752" s="199"/>
      <c r="AG752" s="199"/>
      <c r="AH752" s="199"/>
      <c r="AI752" s="199"/>
      <c r="AJ752" s="199"/>
      <c r="AK752" s="185"/>
      <c r="AL752" s="196"/>
      <c r="AM752" s="197"/>
    </row>
    <row r="753" spans="1:39" s="66" customFormat="1" ht="18" customHeight="1">
      <c r="A753" s="72" t="s">
        <v>889</v>
      </c>
      <c r="B753" s="72"/>
      <c r="C753" s="72"/>
      <c r="D753" s="72"/>
      <c r="E753" s="120" t="s">
        <v>1469</v>
      </c>
      <c r="F753" s="120"/>
      <c r="G753" s="80" t="s">
        <v>99</v>
      </c>
      <c r="H753" s="80" t="s">
        <v>30</v>
      </c>
      <c r="I753" s="80" t="s">
        <v>31</v>
      </c>
      <c r="J753" s="81" t="s">
        <v>32</v>
      </c>
      <c r="K753" s="86" t="s">
        <v>189</v>
      </c>
      <c r="L753" s="293">
        <f>SUM(M753:Q753)</f>
        <v>15495197</v>
      </c>
      <c r="M753" s="294">
        <v>15495197</v>
      </c>
      <c r="N753" s="326"/>
      <c r="O753" s="294"/>
      <c r="P753" s="294"/>
      <c r="Q753" s="294"/>
      <c r="R753" s="70"/>
      <c r="S753" s="63"/>
      <c r="T753" s="63"/>
      <c r="U753" s="63"/>
      <c r="V753" s="69"/>
      <c r="W753" s="67"/>
      <c r="X753" s="67"/>
      <c r="Y753" s="67"/>
      <c r="Z753" s="67"/>
      <c r="AA753" s="67"/>
      <c r="AB753" s="67"/>
      <c r="AC753" s="67"/>
      <c r="AD753" s="67"/>
      <c r="AE753" s="67"/>
      <c r="AF753" s="67"/>
      <c r="AG753" s="45"/>
      <c r="AH753" s="67"/>
      <c r="AI753" s="67"/>
      <c r="AJ753" s="78">
        <v>100</v>
      </c>
      <c r="AK753" s="78">
        <v>2021</v>
      </c>
      <c r="AL753" s="83"/>
      <c r="AM753" s="84"/>
    </row>
    <row r="754" spans="1:39" s="27" customFormat="1" ht="18" customHeight="1">
      <c r="A754" s="34" t="s">
        <v>889</v>
      </c>
      <c r="B754" s="34"/>
      <c r="C754" s="72"/>
      <c r="D754" s="72"/>
      <c r="E754" s="120" t="s">
        <v>1469</v>
      </c>
      <c r="F754" s="120"/>
      <c r="G754" s="80" t="s">
        <v>99</v>
      </c>
      <c r="H754" s="80" t="s">
        <v>30</v>
      </c>
      <c r="I754" s="80" t="s">
        <v>31</v>
      </c>
      <c r="J754" s="81" t="s">
        <v>32</v>
      </c>
      <c r="K754" s="86" t="s">
        <v>100</v>
      </c>
      <c r="L754" s="293">
        <f>SUM(M754:Q754)</f>
        <v>20413179</v>
      </c>
      <c r="M754" s="294">
        <v>10000000</v>
      </c>
      <c r="N754" s="294">
        <f>445414+4217803</f>
        <v>4663217</v>
      </c>
      <c r="O754" s="294"/>
      <c r="P754" s="294">
        <v>5361162</v>
      </c>
      <c r="Q754" s="294">
        <v>388800</v>
      </c>
      <c r="R754" s="70"/>
      <c r="S754" s="63">
        <f>N754-U754</f>
        <v>-26560721</v>
      </c>
      <c r="T754" s="63">
        <v>445414</v>
      </c>
      <c r="U754" s="63">
        <f>50000000-3395000-1700000+1777100-266162-10000000-2000000-327000-2865000</f>
        <v>31223938</v>
      </c>
      <c r="V754" s="9">
        <v>3</v>
      </c>
      <c r="W754" s="19"/>
      <c r="X754" s="19"/>
      <c r="Y754" s="19"/>
      <c r="Z754" s="52"/>
      <c r="AA754" s="52">
        <f>10000000+2000000</f>
        <v>12000000</v>
      </c>
      <c r="AB754" s="19">
        <f>AG754+AH754</f>
        <v>34415938</v>
      </c>
      <c r="AC754" s="19"/>
      <c r="AD754" s="19"/>
      <c r="AE754" s="19"/>
      <c r="AF754" s="19"/>
      <c r="AG754" s="45">
        <f>50000000-3395000-1700000-12000000</f>
        <v>32905000</v>
      </c>
      <c r="AH754" s="19">
        <f>1777100-266162</f>
        <v>1510938</v>
      </c>
      <c r="AI754" s="52"/>
      <c r="AJ754" s="78">
        <v>100</v>
      </c>
      <c r="AK754" s="78">
        <v>2021</v>
      </c>
      <c r="AL754" s="83"/>
      <c r="AM754" s="84"/>
    </row>
    <row r="755" spans="1:39" s="66" customFormat="1" ht="18" customHeight="1">
      <c r="A755" s="72" t="s">
        <v>1482</v>
      </c>
      <c r="B755" s="72"/>
      <c r="C755" s="72"/>
      <c r="D755" s="72"/>
      <c r="E755" s="120"/>
      <c r="F755" s="120" t="s">
        <v>1461</v>
      </c>
      <c r="G755" s="80"/>
      <c r="H755" s="80"/>
      <c r="I755" s="80"/>
      <c r="J755" s="81"/>
      <c r="K755" s="147" t="s">
        <v>1481</v>
      </c>
      <c r="L755" s="303">
        <f t="shared" ref="L755:L756" si="110">SUM(M755:Q755)</f>
        <v>1100376</v>
      </c>
      <c r="M755" s="303"/>
      <c r="N755" s="303">
        <v>445414</v>
      </c>
      <c r="O755" s="303"/>
      <c r="P755" s="303">
        <v>266162</v>
      </c>
      <c r="Q755" s="303">
        <v>388800</v>
      </c>
      <c r="R755" s="70"/>
      <c r="S755" s="63"/>
      <c r="T755" s="63"/>
      <c r="U755" s="63"/>
      <c r="V755" s="69"/>
      <c r="W755" s="67"/>
      <c r="X755" s="67"/>
      <c r="Y755" s="67"/>
      <c r="Z755" s="67"/>
      <c r="AA755" s="67"/>
      <c r="AB755" s="67"/>
      <c r="AC755" s="67"/>
      <c r="AD755" s="67"/>
      <c r="AE755" s="67"/>
      <c r="AF755" s="67"/>
      <c r="AG755" s="45"/>
      <c r="AH755" s="67"/>
      <c r="AI755" s="67"/>
      <c r="AJ755" s="78"/>
      <c r="AK755" s="78"/>
      <c r="AL755" s="83"/>
      <c r="AM755" s="84"/>
    </row>
    <row r="756" spans="1:39" s="66" customFormat="1" ht="18" customHeight="1">
      <c r="A756" s="72" t="s">
        <v>1482</v>
      </c>
      <c r="B756" s="72"/>
      <c r="C756" s="72"/>
      <c r="D756" s="72"/>
      <c r="E756" s="120"/>
      <c r="F756" s="120"/>
      <c r="G756" s="80"/>
      <c r="H756" s="80"/>
      <c r="I756" s="80"/>
      <c r="J756" s="81"/>
      <c r="K756" s="147" t="s">
        <v>1480</v>
      </c>
      <c r="L756" s="303">
        <f t="shared" si="110"/>
        <v>19312803</v>
      </c>
      <c r="M756" s="303">
        <v>10000000</v>
      </c>
      <c r="N756" s="303">
        <v>4217803</v>
      </c>
      <c r="O756" s="303"/>
      <c r="P756" s="303">
        <f>3395000+1700000</f>
        <v>5095000</v>
      </c>
      <c r="Q756" s="303"/>
      <c r="R756" s="70"/>
      <c r="S756" s="63"/>
      <c r="T756" s="63"/>
      <c r="U756" s="63"/>
      <c r="V756" s="69"/>
      <c r="W756" s="67"/>
      <c r="X756" s="67"/>
      <c r="Y756" s="67"/>
      <c r="Z756" s="67"/>
      <c r="AA756" s="67"/>
      <c r="AB756" s="67"/>
      <c r="AC756" s="67"/>
      <c r="AD756" s="67"/>
      <c r="AE756" s="67"/>
      <c r="AF756" s="67"/>
      <c r="AG756" s="45"/>
      <c r="AH756" s="67"/>
      <c r="AI756" s="67"/>
      <c r="AJ756" s="78"/>
      <c r="AK756" s="78"/>
      <c r="AL756" s="83"/>
      <c r="AM756" s="84"/>
    </row>
    <row r="757" spans="1:39" s="66" customFormat="1" ht="33">
      <c r="A757" s="72" t="s">
        <v>889</v>
      </c>
      <c r="B757" s="72"/>
      <c r="C757" s="72"/>
      <c r="D757" s="72"/>
      <c r="E757" s="120" t="s">
        <v>905</v>
      </c>
      <c r="F757" s="120"/>
      <c r="G757" s="154" t="s">
        <v>300</v>
      </c>
      <c r="H757" s="154" t="s">
        <v>132</v>
      </c>
      <c r="I757" s="154" t="s">
        <v>133</v>
      </c>
      <c r="J757" s="125" t="s">
        <v>134</v>
      </c>
      <c r="K757" s="157" t="s">
        <v>1175</v>
      </c>
      <c r="L757" s="293">
        <f>SUM(M757:Q757)</f>
        <v>2865000</v>
      </c>
      <c r="M757" s="294">
        <v>2865000</v>
      </c>
      <c r="N757" s="294"/>
      <c r="O757" s="294"/>
      <c r="P757" s="294"/>
      <c r="Q757" s="294"/>
      <c r="R757" s="70"/>
      <c r="S757" s="118"/>
      <c r="T757" s="118"/>
      <c r="U757" s="118">
        <v>2865000</v>
      </c>
      <c r="V757" s="69"/>
      <c r="W757" s="67"/>
      <c r="X757" s="67"/>
      <c r="Y757" s="67"/>
      <c r="Z757" s="67"/>
      <c r="AA757" s="67"/>
      <c r="AB757" s="67"/>
      <c r="AC757" s="67"/>
      <c r="AD757" s="67"/>
      <c r="AE757" s="67"/>
      <c r="AF757" s="67"/>
      <c r="AG757" s="45"/>
      <c r="AH757" s="67"/>
      <c r="AI757" s="67"/>
      <c r="AJ757" s="78"/>
      <c r="AK757" s="156" t="s">
        <v>271</v>
      </c>
      <c r="AL757" s="158"/>
      <c r="AM757" s="159"/>
    </row>
    <row r="758" spans="1:39" s="66" customFormat="1">
      <c r="A758" s="72" t="s">
        <v>889</v>
      </c>
      <c r="B758" s="72"/>
      <c r="C758" s="72"/>
      <c r="D758" s="72"/>
      <c r="E758" s="120" t="s">
        <v>1469</v>
      </c>
      <c r="F758" s="120"/>
      <c r="G758" s="154" t="s">
        <v>300</v>
      </c>
      <c r="H758" s="154" t="s">
        <v>132</v>
      </c>
      <c r="I758" s="154" t="s">
        <v>133</v>
      </c>
      <c r="J758" s="125" t="s">
        <v>134</v>
      </c>
      <c r="K758" s="157" t="s">
        <v>1174</v>
      </c>
      <c r="L758" s="293">
        <f>SUM(M758:Q758)</f>
        <v>327000</v>
      </c>
      <c r="M758" s="294">
        <v>327000</v>
      </c>
      <c r="N758" s="294"/>
      <c r="O758" s="294"/>
      <c r="P758" s="294"/>
      <c r="Q758" s="294"/>
      <c r="R758" s="70"/>
      <c r="S758" s="118"/>
      <c r="T758" s="118"/>
      <c r="U758" s="118">
        <v>327000</v>
      </c>
      <c r="V758" s="69"/>
      <c r="W758" s="67"/>
      <c r="X758" s="67"/>
      <c r="Y758" s="67"/>
      <c r="Z758" s="67"/>
      <c r="AA758" s="67"/>
      <c r="AB758" s="67"/>
      <c r="AC758" s="67"/>
      <c r="AD758" s="67"/>
      <c r="AE758" s="67"/>
      <c r="AF758" s="67"/>
      <c r="AG758" s="45"/>
      <c r="AH758" s="67"/>
      <c r="AI758" s="67"/>
      <c r="AJ758" s="78"/>
      <c r="AK758" s="156" t="s">
        <v>271</v>
      </c>
      <c r="AL758" s="158"/>
      <c r="AM758" s="159"/>
    </row>
    <row r="759" spans="1:39" s="198" customFormat="1">
      <c r="A759" s="193" t="s">
        <v>890</v>
      </c>
      <c r="B759" s="181" t="s">
        <v>193</v>
      </c>
      <c r="C759" s="181"/>
      <c r="D759" s="181"/>
      <c r="E759" s="182" t="s">
        <v>1225</v>
      </c>
      <c r="F759" s="182"/>
      <c r="G759" s="183" t="s">
        <v>101</v>
      </c>
      <c r="H759" s="183"/>
      <c r="I759" s="183"/>
      <c r="J759" s="184" t="s">
        <v>102</v>
      </c>
      <c r="K759" s="185"/>
      <c r="L759" s="287">
        <f t="shared" ref="L759" si="111">SUM(L761:L762)</f>
        <v>1032360</v>
      </c>
      <c r="M759" s="288">
        <f>SUM(M761:M762)</f>
        <v>1032360</v>
      </c>
      <c r="N759" s="289">
        <f>SUM(N761:N762)</f>
        <v>0</v>
      </c>
      <c r="O759" s="289">
        <f t="shared" ref="O759:P759" si="112">SUM(O761:O762)</f>
        <v>0</v>
      </c>
      <c r="P759" s="289">
        <f t="shared" si="112"/>
        <v>0</v>
      </c>
      <c r="Q759" s="289">
        <f t="shared" ref="Q759" si="113">SUM(Q761:Q762)</f>
        <v>0</v>
      </c>
      <c r="R759" s="187">
        <f t="shared" ref="R759:R760" si="114">L759-M759-N759-O759-P759-Q759</f>
        <v>0</v>
      </c>
      <c r="S759" s="187"/>
      <c r="T759" s="187"/>
      <c r="U759" s="187">
        <f>SUM(U761:U762)</f>
        <v>1332360</v>
      </c>
      <c r="V759" s="187"/>
      <c r="W759" s="187">
        <f>SUM(W761:W762)</f>
        <v>0</v>
      </c>
      <c r="X759" s="187">
        <f>SUM(X761:X762)</f>
        <v>0</v>
      </c>
      <c r="Y759" s="187">
        <f>SUM(Y761:Y762)</f>
        <v>1000000</v>
      </c>
      <c r="Z759" s="187"/>
      <c r="AA759" s="187"/>
      <c r="AB759" s="187">
        <f>SUM(AB761:AB762)</f>
        <v>1232360</v>
      </c>
      <c r="AC759" s="187">
        <f>X759+Y759+AB759-N759</f>
        <v>2232360</v>
      </c>
      <c r="AD759" s="187">
        <f>SUM(AD761:AD762)</f>
        <v>0</v>
      </c>
      <c r="AE759" s="187">
        <f>SUM(AE761:AE762)</f>
        <v>0</v>
      </c>
      <c r="AF759" s="187">
        <f>SUM(AF761:AF762)</f>
        <v>0</v>
      </c>
      <c r="AG759" s="187">
        <f>SUM(AG761:AG762)</f>
        <v>0</v>
      </c>
      <c r="AH759" s="187">
        <f>SUM(AH761:AH762)</f>
        <v>0</v>
      </c>
      <c r="AI759" s="199"/>
      <c r="AJ759" s="187"/>
      <c r="AK759" s="185"/>
      <c r="AL759" s="196"/>
      <c r="AM759" s="197"/>
    </row>
    <row r="760" spans="1:39" s="198" customFormat="1">
      <c r="A760" s="193" t="s">
        <v>890</v>
      </c>
      <c r="B760" s="193"/>
      <c r="C760" s="193"/>
      <c r="D760" s="193"/>
      <c r="E760" s="182" t="s">
        <v>1225</v>
      </c>
      <c r="F760" s="182"/>
      <c r="G760" s="183" t="s">
        <v>103</v>
      </c>
      <c r="H760" s="183"/>
      <c r="I760" s="183"/>
      <c r="J760" s="190" t="s">
        <v>102</v>
      </c>
      <c r="K760" s="185"/>
      <c r="L760" s="290"/>
      <c r="M760" s="291"/>
      <c r="N760" s="297"/>
      <c r="O760" s="297"/>
      <c r="P760" s="297"/>
      <c r="Q760" s="297"/>
      <c r="R760" s="187">
        <f t="shared" si="114"/>
        <v>0</v>
      </c>
      <c r="S760" s="199"/>
      <c r="T760" s="199"/>
      <c r="U760" s="199"/>
      <c r="V760" s="200"/>
      <c r="W760" s="199"/>
      <c r="X760" s="199"/>
      <c r="Y760" s="199"/>
      <c r="Z760" s="199"/>
      <c r="AA760" s="199"/>
      <c r="AB760" s="199"/>
      <c r="AC760" s="199"/>
      <c r="AD760" s="199"/>
      <c r="AE760" s="199"/>
      <c r="AF760" s="199"/>
      <c r="AG760" s="199"/>
      <c r="AH760" s="199"/>
      <c r="AI760" s="199"/>
      <c r="AJ760" s="199"/>
      <c r="AK760" s="185"/>
      <c r="AL760" s="196"/>
      <c r="AM760" s="197"/>
    </row>
    <row r="761" spans="1:39" s="27" customFormat="1" ht="49.5">
      <c r="A761" s="34" t="s">
        <v>890</v>
      </c>
      <c r="B761" s="34"/>
      <c r="C761" s="72"/>
      <c r="D761" s="72"/>
      <c r="E761" s="120" t="s">
        <v>1230</v>
      </c>
      <c r="F761" s="120"/>
      <c r="G761" s="80" t="s">
        <v>104</v>
      </c>
      <c r="H761" s="80" t="s">
        <v>15</v>
      </c>
      <c r="I761" s="80" t="s">
        <v>16</v>
      </c>
      <c r="J761" s="81" t="s">
        <v>105</v>
      </c>
      <c r="K761" s="82" t="s">
        <v>18</v>
      </c>
      <c r="L761" s="179">
        <f>SUM(M761:Q761)</f>
        <v>332360</v>
      </c>
      <c r="M761" s="323">
        <v>332360</v>
      </c>
      <c r="N761" s="310"/>
      <c r="O761" s="326"/>
      <c r="P761" s="326"/>
      <c r="Q761" s="326"/>
      <c r="R761" s="40"/>
      <c r="S761" s="63"/>
      <c r="T761" s="63"/>
      <c r="U761" s="63">
        <f>1232360+100000-700000</f>
        <v>632360</v>
      </c>
      <c r="V761" s="9">
        <v>3</v>
      </c>
      <c r="W761" s="19"/>
      <c r="X761" s="19"/>
      <c r="Y761" s="19"/>
      <c r="Z761" s="52"/>
      <c r="AA761" s="52">
        <v>700000</v>
      </c>
      <c r="AB761" s="19">
        <v>1232360</v>
      </c>
      <c r="AC761" s="19"/>
      <c r="AD761" s="19"/>
      <c r="AE761" s="19"/>
      <c r="AF761" s="19"/>
      <c r="AG761" s="19"/>
      <c r="AH761" s="19"/>
      <c r="AI761" s="52"/>
      <c r="AJ761" s="78"/>
      <c r="AK761" s="78">
        <v>2021</v>
      </c>
      <c r="AL761" s="83"/>
      <c r="AM761" s="84"/>
    </row>
    <row r="762" spans="1:39" s="27" customFormat="1" ht="33">
      <c r="A762" s="34" t="s">
        <v>890</v>
      </c>
      <c r="B762" s="34"/>
      <c r="C762" s="72"/>
      <c r="D762" s="72"/>
      <c r="E762" s="120" t="s">
        <v>901</v>
      </c>
      <c r="F762" s="120"/>
      <c r="G762" s="80" t="s">
        <v>106</v>
      </c>
      <c r="H762" s="80" t="s">
        <v>107</v>
      </c>
      <c r="I762" s="80" t="s">
        <v>108</v>
      </c>
      <c r="J762" s="81" t="s">
        <v>109</v>
      </c>
      <c r="K762" s="86" t="s">
        <v>110</v>
      </c>
      <c r="L762" s="179">
        <f>SUM(M762:Q762)</f>
        <v>700000</v>
      </c>
      <c r="M762" s="323">
        <v>700000</v>
      </c>
      <c r="N762" s="310"/>
      <c r="O762" s="326"/>
      <c r="P762" s="326"/>
      <c r="Q762" s="326"/>
      <c r="R762" s="40"/>
      <c r="S762" s="63"/>
      <c r="T762" s="63"/>
      <c r="U762" s="63">
        <f>1000000-100000-200000</f>
        <v>700000</v>
      </c>
      <c r="V762" s="9">
        <v>2</v>
      </c>
      <c r="W762" s="19"/>
      <c r="X762" s="19"/>
      <c r="Y762" s="19">
        <v>1000000</v>
      </c>
      <c r="Z762" s="52"/>
      <c r="AA762" s="52">
        <v>200000</v>
      </c>
      <c r="AB762" s="19"/>
      <c r="AC762" s="19"/>
      <c r="AD762" s="19"/>
      <c r="AE762" s="19"/>
      <c r="AF762" s="19"/>
      <c r="AG762" s="19"/>
      <c r="AH762" s="19"/>
      <c r="AI762" s="52"/>
      <c r="AJ762" s="78">
        <v>100</v>
      </c>
      <c r="AK762" s="78" t="s">
        <v>271</v>
      </c>
      <c r="AL762" s="85">
        <v>1500000</v>
      </c>
      <c r="AM762" s="84">
        <v>33.333333333333329</v>
      </c>
    </row>
    <row r="763" spans="1:39" s="198" customFormat="1">
      <c r="A763" s="193" t="s">
        <v>891</v>
      </c>
      <c r="B763" s="181" t="s">
        <v>193</v>
      </c>
      <c r="C763" s="181"/>
      <c r="D763" s="181"/>
      <c r="E763" s="182" t="s">
        <v>1225</v>
      </c>
      <c r="F763" s="182"/>
      <c r="G763" s="183" t="s">
        <v>111</v>
      </c>
      <c r="H763" s="183"/>
      <c r="I763" s="183"/>
      <c r="J763" s="184" t="s">
        <v>112</v>
      </c>
      <c r="K763" s="185"/>
      <c r="L763" s="287">
        <f t="shared" ref="L763" si="115">SUM(L765:L766)</f>
        <v>4822200</v>
      </c>
      <c r="M763" s="288">
        <f>SUM(M765:M766)</f>
        <v>4822200</v>
      </c>
      <c r="N763" s="289">
        <f>SUM(N765:N766)</f>
        <v>0</v>
      </c>
      <c r="O763" s="289">
        <f t="shared" ref="O763:P763" si="116">SUM(O765:O766)</f>
        <v>0</v>
      </c>
      <c r="P763" s="289">
        <f t="shared" si="116"/>
        <v>0</v>
      </c>
      <c r="Q763" s="289">
        <f t="shared" ref="Q763" si="117">SUM(Q765:Q766)</f>
        <v>0</v>
      </c>
      <c r="R763" s="187">
        <f t="shared" ref="R763:R764" si="118">L763-M763-N763-O763-P763-Q763</f>
        <v>0</v>
      </c>
      <c r="S763" s="187"/>
      <c r="T763" s="187"/>
      <c r="U763" s="187">
        <f>SUM(U765:U766)</f>
        <v>4822200</v>
      </c>
      <c r="V763" s="187"/>
      <c r="W763" s="187">
        <f>SUM(W766)</f>
        <v>0</v>
      </c>
      <c r="X763" s="187">
        <f>SUM(X766)</f>
        <v>0</v>
      </c>
      <c r="Y763" s="187">
        <f>SUM(Y766)</f>
        <v>0</v>
      </c>
      <c r="Z763" s="187"/>
      <c r="AA763" s="187"/>
      <c r="AB763" s="187">
        <f>SUM(AB766)</f>
        <v>5172200</v>
      </c>
      <c r="AC763" s="187">
        <f>X763+Y763+AB763-N763</f>
        <v>5172200</v>
      </c>
      <c r="AD763" s="187">
        <f>SUM(AD766)</f>
        <v>0</v>
      </c>
      <c r="AE763" s="187">
        <f>SUM(AE766)</f>
        <v>0</v>
      </c>
      <c r="AF763" s="187">
        <f>SUM(AF766)</f>
        <v>0</v>
      </c>
      <c r="AG763" s="187">
        <f>SUM(AG766)</f>
        <v>0</v>
      </c>
      <c r="AH763" s="187">
        <f>SUM(AH766)</f>
        <v>0</v>
      </c>
      <c r="AI763" s="199"/>
      <c r="AJ763" s="187"/>
      <c r="AK763" s="185"/>
      <c r="AL763" s="196"/>
      <c r="AM763" s="197"/>
    </row>
    <row r="764" spans="1:39" s="198" customFormat="1">
      <c r="A764" s="193" t="s">
        <v>891</v>
      </c>
      <c r="B764" s="193"/>
      <c r="C764" s="193"/>
      <c r="D764" s="193"/>
      <c r="E764" s="182" t="s">
        <v>1225</v>
      </c>
      <c r="F764" s="182"/>
      <c r="G764" s="183" t="s">
        <v>113</v>
      </c>
      <c r="H764" s="183"/>
      <c r="I764" s="183"/>
      <c r="J764" s="190" t="s">
        <v>112</v>
      </c>
      <c r="K764" s="185"/>
      <c r="L764" s="290"/>
      <c r="M764" s="291"/>
      <c r="N764" s="297"/>
      <c r="O764" s="297"/>
      <c r="P764" s="297"/>
      <c r="Q764" s="297"/>
      <c r="R764" s="187">
        <f t="shared" si="118"/>
        <v>0</v>
      </c>
      <c r="S764" s="199"/>
      <c r="T764" s="199"/>
      <c r="U764" s="199"/>
      <c r="V764" s="200"/>
      <c r="W764" s="199"/>
      <c r="X764" s="199"/>
      <c r="Y764" s="199"/>
      <c r="Z764" s="199"/>
      <c r="AA764" s="199"/>
      <c r="AB764" s="199"/>
      <c r="AC764" s="199"/>
      <c r="AD764" s="199"/>
      <c r="AE764" s="199"/>
      <c r="AF764" s="199"/>
      <c r="AG764" s="199"/>
      <c r="AH764" s="199"/>
      <c r="AI764" s="199"/>
      <c r="AJ764" s="199"/>
      <c r="AK764" s="185"/>
      <c r="AL764" s="196"/>
      <c r="AM764" s="197"/>
    </row>
    <row r="765" spans="1:39" s="27" customFormat="1" ht="33">
      <c r="A765" s="34" t="s">
        <v>891</v>
      </c>
      <c r="B765" s="34"/>
      <c r="C765" s="72"/>
      <c r="D765" s="72"/>
      <c r="E765" s="120" t="s">
        <v>1230</v>
      </c>
      <c r="F765" s="120"/>
      <c r="G765" s="80" t="s">
        <v>256</v>
      </c>
      <c r="H765" s="80" t="s">
        <v>15</v>
      </c>
      <c r="I765" s="80" t="s">
        <v>16</v>
      </c>
      <c r="J765" s="81" t="s">
        <v>257</v>
      </c>
      <c r="K765" s="82" t="s">
        <v>18</v>
      </c>
      <c r="L765" s="179">
        <f>SUM(M765:Q765)</f>
        <v>150000</v>
      </c>
      <c r="M765" s="323">
        <v>150000</v>
      </c>
      <c r="N765" s="310"/>
      <c r="O765" s="294"/>
      <c r="P765" s="294"/>
      <c r="Q765" s="294"/>
      <c r="R765" s="70"/>
      <c r="S765" s="70"/>
      <c r="T765" s="70"/>
      <c r="U765" s="70">
        <v>150000</v>
      </c>
      <c r="V765" s="9">
        <v>3</v>
      </c>
      <c r="W765" s="19"/>
      <c r="X765" s="19"/>
      <c r="Y765" s="19"/>
      <c r="Z765" s="52"/>
      <c r="AA765" s="52"/>
      <c r="AB765" s="19">
        <v>150000</v>
      </c>
      <c r="AC765" s="19"/>
      <c r="AD765" s="19"/>
      <c r="AE765" s="19"/>
      <c r="AF765" s="19"/>
      <c r="AG765" s="19"/>
      <c r="AH765" s="19"/>
      <c r="AI765" s="52"/>
      <c r="AJ765" s="78"/>
      <c r="AK765" s="78">
        <v>2021</v>
      </c>
      <c r="AL765" s="83"/>
      <c r="AM765" s="84"/>
    </row>
    <row r="766" spans="1:39" s="27" customFormat="1" ht="33">
      <c r="A766" s="34" t="s">
        <v>891</v>
      </c>
      <c r="B766" s="34"/>
      <c r="C766" s="72"/>
      <c r="D766" s="72"/>
      <c r="E766" s="120" t="s">
        <v>1469</v>
      </c>
      <c r="F766" s="120"/>
      <c r="G766" s="80" t="s">
        <v>114</v>
      </c>
      <c r="H766" s="80" t="s">
        <v>30</v>
      </c>
      <c r="I766" s="80" t="s">
        <v>31</v>
      </c>
      <c r="J766" s="125" t="s">
        <v>258</v>
      </c>
      <c r="K766" s="86" t="s">
        <v>115</v>
      </c>
      <c r="L766" s="179">
        <f>SUM(M766:Q766)</f>
        <v>4672200</v>
      </c>
      <c r="M766" s="323">
        <v>4672200</v>
      </c>
      <c r="N766" s="310"/>
      <c r="O766" s="302"/>
      <c r="P766" s="302"/>
      <c r="Q766" s="302"/>
      <c r="R766" s="43"/>
      <c r="S766" s="43"/>
      <c r="T766" s="43"/>
      <c r="U766" s="43">
        <f>5172200-500000</f>
        <v>4672200</v>
      </c>
      <c r="V766" s="9">
        <v>3</v>
      </c>
      <c r="W766" s="19"/>
      <c r="X766" s="19"/>
      <c r="Y766" s="19"/>
      <c r="Z766" s="52"/>
      <c r="AA766" s="52"/>
      <c r="AB766" s="19">
        <v>5172200</v>
      </c>
      <c r="AC766" s="19"/>
      <c r="AD766" s="19"/>
      <c r="AE766" s="19"/>
      <c r="AF766" s="19"/>
      <c r="AG766" s="19"/>
      <c r="AH766" s="19"/>
      <c r="AI766" s="52"/>
      <c r="AJ766" s="78">
        <v>100</v>
      </c>
      <c r="AK766" s="78">
        <v>2021</v>
      </c>
      <c r="AL766" s="83"/>
      <c r="AM766" s="84"/>
    </row>
    <row r="767" spans="1:39" s="223" customFormat="1">
      <c r="A767" s="193" t="s">
        <v>892</v>
      </c>
      <c r="B767" s="181" t="s">
        <v>193</v>
      </c>
      <c r="C767" s="181"/>
      <c r="D767" s="181"/>
      <c r="E767" s="182" t="s">
        <v>1225</v>
      </c>
      <c r="F767" s="182"/>
      <c r="G767" s="184">
        <v>2700000</v>
      </c>
      <c r="H767" s="184"/>
      <c r="I767" s="184"/>
      <c r="J767" s="221" t="s">
        <v>116</v>
      </c>
      <c r="K767" s="222"/>
      <c r="L767" s="287">
        <f>SUM(L769:L772)-L771</f>
        <v>24398240</v>
      </c>
      <c r="M767" s="287">
        <f t="shared" ref="M767:Q767" si="119">SUM(M769:M772)-M771</f>
        <v>898240</v>
      </c>
      <c r="N767" s="287">
        <f t="shared" si="119"/>
        <v>0</v>
      </c>
      <c r="O767" s="287">
        <f t="shared" si="119"/>
        <v>0</v>
      </c>
      <c r="P767" s="287">
        <f t="shared" si="119"/>
        <v>0</v>
      </c>
      <c r="Q767" s="287">
        <f t="shared" si="119"/>
        <v>23500000</v>
      </c>
      <c r="R767" s="187">
        <f t="shared" ref="R767:R768" si="120">L767-M767-N767-O767-P767-Q767</f>
        <v>0</v>
      </c>
      <c r="S767" s="187"/>
      <c r="T767" s="187"/>
      <c r="U767" s="187">
        <f>SUM(U769:U772)</f>
        <v>1398240</v>
      </c>
      <c r="V767" s="187"/>
      <c r="W767" s="187"/>
      <c r="X767" s="187">
        <f>SUM(X769:X772)</f>
        <v>0</v>
      </c>
      <c r="Y767" s="187">
        <f>SUM(Y769:Y772)</f>
        <v>0</v>
      </c>
      <c r="Z767" s="187"/>
      <c r="AA767" s="187"/>
      <c r="AB767" s="187">
        <f>SUM(AB769:AB772)</f>
        <v>1548240</v>
      </c>
      <c r="AC767" s="187">
        <f>X767+Y767+AB767-N767</f>
        <v>1548240</v>
      </c>
      <c r="AD767" s="187">
        <f>SUM(AD769:AD772)</f>
        <v>0</v>
      </c>
      <c r="AE767" s="187">
        <f>SUM(AE769:AE772)</f>
        <v>0</v>
      </c>
      <c r="AF767" s="187">
        <f>SUM(AF769:AF772)</f>
        <v>0</v>
      </c>
      <c r="AG767" s="187">
        <f>SUM(AG769:AG772)</f>
        <v>0</v>
      </c>
      <c r="AH767" s="187">
        <f>SUM(AH769:AH772)</f>
        <v>0</v>
      </c>
      <c r="AI767" s="199"/>
      <c r="AJ767" s="187"/>
      <c r="AK767" s="185"/>
      <c r="AL767" s="196"/>
      <c r="AM767" s="197"/>
    </row>
    <row r="768" spans="1:39" s="223" customFormat="1">
      <c r="A768" s="193" t="s">
        <v>892</v>
      </c>
      <c r="B768" s="224"/>
      <c r="C768" s="224"/>
      <c r="D768" s="224"/>
      <c r="E768" s="225" t="s">
        <v>1225</v>
      </c>
      <c r="F768" s="225"/>
      <c r="G768" s="184">
        <v>2710000</v>
      </c>
      <c r="H768" s="184"/>
      <c r="I768" s="219"/>
      <c r="J768" s="222" t="s">
        <v>116</v>
      </c>
      <c r="K768" s="226"/>
      <c r="L768" s="290"/>
      <c r="M768" s="291"/>
      <c r="N768" s="297"/>
      <c r="O768" s="297"/>
      <c r="P768" s="297"/>
      <c r="Q768" s="297"/>
      <c r="R768" s="187">
        <f t="shared" si="120"/>
        <v>0</v>
      </c>
      <c r="S768" s="199"/>
      <c r="T768" s="199"/>
      <c r="U768" s="199"/>
      <c r="V768" s="200"/>
      <c r="W768" s="199"/>
      <c r="X768" s="199"/>
      <c r="Y768" s="199"/>
      <c r="Z768" s="199"/>
      <c r="AA768" s="199"/>
      <c r="AB768" s="199"/>
      <c r="AC768" s="199"/>
      <c r="AD768" s="199"/>
      <c r="AE768" s="199"/>
      <c r="AF768" s="199"/>
      <c r="AG768" s="199"/>
      <c r="AH768" s="199"/>
      <c r="AI768" s="199"/>
      <c r="AJ768" s="199"/>
      <c r="AK768" s="185"/>
      <c r="AL768" s="197"/>
      <c r="AM768" s="197"/>
    </row>
    <row r="769" spans="1:39" s="28" customFormat="1" ht="33">
      <c r="A769" s="34" t="s">
        <v>892</v>
      </c>
      <c r="B769" s="35"/>
      <c r="C769" s="35"/>
      <c r="D769" s="35"/>
      <c r="E769" s="37" t="s">
        <v>1230</v>
      </c>
      <c r="F769" s="37"/>
      <c r="G769" s="80" t="s">
        <v>117</v>
      </c>
      <c r="H769" s="80" t="s">
        <v>15</v>
      </c>
      <c r="I769" s="80" t="s">
        <v>16</v>
      </c>
      <c r="J769" s="81" t="s">
        <v>118</v>
      </c>
      <c r="K769" s="82" t="s">
        <v>18</v>
      </c>
      <c r="L769" s="179">
        <f>SUM(M769:Q769)</f>
        <v>78240</v>
      </c>
      <c r="M769" s="323">
        <v>78240</v>
      </c>
      <c r="N769" s="310"/>
      <c r="O769" s="302"/>
      <c r="P769" s="302"/>
      <c r="Q769" s="302"/>
      <c r="R769" s="67"/>
      <c r="S769" s="67"/>
      <c r="T769" s="67"/>
      <c r="U769" s="67">
        <v>578240</v>
      </c>
      <c r="V769" s="9">
        <v>3</v>
      </c>
      <c r="W769" s="19"/>
      <c r="X769" s="19"/>
      <c r="Y769" s="19"/>
      <c r="Z769" s="52"/>
      <c r="AA769" s="52"/>
      <c r="AB769" s="19">
        <v>578240</v>
      </c>
      <c r="AC769" s="19"/>
      <c r="AD769" s="19"/>
      <c r="AE769" s="19"/>
      <c r="AF769" s="19"/>
      <c r="AG769" s="19"/>
      <c r="AH769" s="19"/>
      <c r="AI769" s="52"/>
      <c r="AJ769" s="78"/>
      <c r="AK769" s="78">
        <v>2021</v>
      </c>
      <c r="AL769" s="84"/>
      <c r="AM769" s="84"/>
    </row>
    <row r="770" spans="1:39" s="53" customFormat="1">
      <c r="A770" s="72" t="s">
        <v>892</v>
      </c>
      <c r="B770" s="35"/>
      <c r="C770" s="35"/>
      <c r="D770" s="35"/>
      <c r="E770" s="37"/>
      <c r="F770" s="37"/>
      <c r="G770" s="80">
        <v>2717670</v>
      </c>
      <c r="H770" s="80">
        <v>7670</v>
      </c>
      <c r="I770" s="80" t="s">
        <v>31</v>
      </c>
      <c r="J770" s="81" t="s">
        <v>1451</v>
      </c>
      <c r="K770" s="82" t="s">
        <v>121</v>
      </c>
      <c r="L770" s="179">
        <f>SUM(M770:Q770)</f>
        <v>23500000</v>
      </c>
      <c r="M770" s="323"/>
      <c r="N770" s="310"/>
      <c r="O770" s="302"/>
      <c r="P770" s="302"/>
      <c r="Q770" s="302">
        <v>23500000</v>
      </c>
      <c r="R770" s="67"/>
      <c r="S770" s="67"/>
      <c r="T770" s="67"/>
      <c r="U770" s="67"/>
      <c r="V770" s="69"/>
      <c r="W770" s="67"/>
      <c r="X770" s="67"/>
      <c r="Y770" s="67"/>
      <c r="Z770" s="67"/>
      <c r="AA770" s="67"/>
      <c r="AB770" s="67"/>
      <c r="AC770" s="67"/>
      <c r="AD770" s="67"/>
      <c r="AE770" s="67"/>
      <c r="AF770" s="67"/>
      <c r="AG770" s="67"/>
      <c r="AH770" s="67"/>
      <c r="AI770" s="67"/>
      <c r="AJ770" s="78"/>
      <c r="AK770" s="78"/>
      <c r="AL770" s="84"/>
      <c r="AM770" s="84"/>
    </row>
    <row r="771" spans="1:39" s="370" customFormat="1">
      <c r="A771" s="361" t="s">
        <v>1483</v>
      </c>
      <c r="B771" s="362"/>
      <c r="C771" s="362"/>
      <c r="D771" s="362"/>
      <c r="E771" s="363"/>
      <c r="F771" s="363"/>
      <c r="G771" s="364"/>
      <c r="H771" s="364"/>
      <c r="I771" s="364"/>
      <c r="J771" s="147"/>
      <c r="K771" s="146" t="s">
        <v>1467</v>
      </c>
      <c r="L771" s="327">
        <f>SUM(M771:Q771)</f>
        <v>23500000</v>
      </c>
      <c r="M771" s="327"/>
      <c r="N771" s="365"/>
      <c r="O771" s="366"/>
      <c r="P771" s="366"/>
      <c r="Q771" s="366">
        <v>23500000</v>
      </c>
      <c r="R771" s="367"/>
      <c r="S771" s="367"/>
      <c r="T771" s="367"/>
      <c r="U771" s="367"/>
      <c r="V771" s="368"/>
      <c r="W771" s="367"/>
      <c r="X771" s="367"/>
      <c r="Y771" s="367"/>
      <c r="Z771" s="367"/>
      <c r="AA771" s="367"/>
      <c r="AB771" s="367"/>
      <c r="AC771" s="367"/>
      <c r="AD771" s="367"/>
      <c r="AE771" s="367"/>
      <c r="AF771" s="367"/>
      <c r="AG771" s="367"/>
      <c r="AH771" s="367"/>
      <c r="AI771" s="367"/>
      <c r="AJ771" s="147"/>
      <c r="AK771" s="147"/>
      <c r="AL771" s="369"/>
      <c r="AM771" s="369"/>
    </row>
    <row r="772" spans="1:39" s="28" customFormat="1" ht="33">
      <c r="A772" s="34" t="s">
        <v>892</v>
      </c>
      <c r="B772" s="35"/>
      <c r="C772" s="35"/>
      <c r="D772" s="35"/>
      <c r="E772" s="120" t="s">
        <v>1469</v>
      </c>
      <c r="F772" s="37"/>
      <c r="G772" s="80">
        <v>2717670</v>
      </c>
      <c r="H772" s="80">
        <v>7670</v>
      </c>
      <c r="I772" s="80" t="s">
        <v>31</v>
      </c>
      <c r="J772" s="81" t="s">
        <v>32</v>
      </c>
      <c r="K772" s="86" t="s">
        <v>119</v>
      </c>
      <c r="L772" s="179">
        <f>SUM(M772:Q772)</f>
        <v>820000</v>
      </c>
      <c r="M772" s="323">
        <v>820000</v>
      </c>
      <c r="N772" s="310"/>
      <c r="O772" s="294"/>
      <c r="P772" s="294"/>
      <c r="Q772" s="294"/>
      <c r="R772" s="70"/>
      <c r="S772" s="41"/>
      <c r="T772" s="41"/>
      <c r="U772" s="41">
        <f>970000-150000</f>
        <v>820000</v>
      </c>
      <c r="V772" s="9">
        <v>3</v>
      </c>
      <c r="W772" s="19"/>
      <c r="X772" s="19"/>
      <c r="Y772" s="19"/>
      <c r="Z772" s="52"/>
      <c r="AA772" s="52">
        <v>150000</v>
      </c>
      <c r="AB772" s="19">
        <v>970000</v>
      </c>
      <c r="AC772" s="19"/>
      <c r="AD772" s="19"/>
      <c r="AE772" s="19"/>
      <c r="AF772" s="19"/>
      <c r="AG772" s="19"/>
      <c r="AH772" s="19"/>
      <c r="AI772" s="52"/>
      <c r="AJ772" s="78">
        <v>100</v>
      </c>
      <c r="AK772" s="78">
        <v>2021</v>
      </c>
      <c r="AL772" s="84"/>
      <c r="AM772" s="84"/>
    </row>
    <row r="773" spans="1:39" s="223" customFormat="1">
      <c r="A773" s="193" t="s">
        <v>893</v>
      </c>
      <c r="B773" s="181" t="s">
        <v>193</v>
      </c>
      <c r="C773" s="181"/>
      <c r="D773" s="181"/>
      <c r="E773" s="182" t="s">
        <v>1225</v>
      </c>
      <c r="F773" s="182"/>
      <c r="G773" s="183" t="s">
        <v>122</v>
      </c>
      <c r="H773" s="183"/>
      <c r="I773" s="183"/>
      <c r="J773" s="184" t="s">
        <v>123</v>
      </c>
      <c r="K773" s="226"/>
      <c r="L773" s="287">
        <f t="shared" ref="L773" si="121">SUM(L775:L791)</f>
        <v>24029072</v>
      </c>
      <c r="M773" s="288">
        <f>SUM(M775:M791)</f>
        <v>24029072</v>
      </c>
      <c r="N773" s="289">
        <f>SUM(N775:N791)</f>
        <v>0</v>
      </c>
      <c r="O773" s="289">
        <f t="shared" ref="O773:P773" si="122">SUM(O775:O791)</f>
        <v>0</v>
      </c>
      <c r="P773" s="289">
        <f t="shared" si="122"/>
        <v>0</v>
      </c>
      <c r="Q773" s="289">
        <f t="shared" ref="Q773" si="123">SUM(Q775:Q791)</f>
        <v>0</v>
      </c>
      <c r="R773" s="187">
        <f t="shared" ref="R773:R774" si="124">L773-M773-N773-O773-P773-Q773</f>
        <v>0</v>
      </c>
      <c r="S773" s="187"/>
      <c r="T773" s="187"/>
      <c r="U773" s="187">
        <f>SUM(U775:U791)</f>
        <v>37500000</v>
      </c>
      <c r="V773" s="187"/>
      <c r="W773" s="187">
        <f>SUM(W775:W791)</f>
        <v>0</v>
      </c>
      <c r="X773" s="187">
        <f>SUM(X775:X791)</f>
        <v>9016912</v>
      </c>
      <c r="Y773" s="187" t="e">
        <f>SUM(Y775:Y791)</f>
        <v>#REF!</v>
      </c>
      <c r="Z773" s="187"/>
      <c r="AA773" s="187"/>
      <c r="AB773" s="187">
        <f>SUM(AB775:AB791)</f>
        <v>5300000</v>
      </c>
      <c r="AC773" s="187" t="e">
        <f>X773+Y773+AB773-N773</f>
        <v>#REF!</v>
      </c>
      <c r="AD773" s="187">
        <f>SUM(AD775:AD791)</f>
        <v>0</v>
      </c>
      <c r="AE773" s="187">
        <f>SUM(AE775:AE791)</f>
        <v>0</v>
      </c>
      <c r="AF773" s="187">
        <f>SUM(AF775:AF791)</f>
        <v>0</v>
      </c>
      <c r="AG773" s="187">
        <f>SUM(AG775:AG791)</f>
        <v>0</v>
      </c>
      <c r="AH773" s="187">
        <f>SUM(AH775:AH791)</f>
        <v>0</v>
      </c>
      <c r="AI773" s="227"/>
      <c r="AJ773" s="187"/>
      <c r="AK773" s="185"/>
      <c r="AL773" s="197"/>
      <c r="AM773" s="197"/>
    </row>
    <row r="774" spans="1:39" s="223" customFormat="1">
      <c r="A774" s="193" t="s">
        <v>893</v>
      </c>
      <c r="B774" s="224"/>
      <c r="C774" s="224"/>
      <c r="D774" s="224"/>
      <c r="E774" s="225" t="s">
        <v>1225</v>
      </c>
      <c r="F774" s="225"/>
      <c r="G774" s="183" t="s">
        <v>124</v>
      </c>
      <c r="H774" s="207"/>
      <c r="I774" s="207"/>
      <c r="J774" s="190" t="s">
        <v>123</v>
      </c>
      <c r="K774" s="226"/>
      <c r="L774" s="290"/>
      <c r="M774" s="291"/>
      <c r="N774" s="297"/>
      <c r="O774" s="297"/>
      <c r="P774" s="297"/>
      <c r="Q774" s="297"/>
      <c r="R774" s="187">
        <f t="shared" si="124"/>
        <v>0</v>
      </c>
      <c r="S774" s="199"/>
      <c r="T774" s="199"/>
      <c r="U774" s="199"/>
      <c r="V774" s="200"/>
      <c r="W774" s="199"/>
      <c r="X774" s="199"/>
      <c r="Y774" s="199"/>
      <c r="Z774" s="199"/>
      <c r="AA774" s="199"/>
      <c r="AB774" s="199"/>
      <c r="AC774" s="199"/>
      <c r="AD774" s="199"/>
      <c r="AE774" s="199"/>
      <c r="AF774" s="199"/>
      <c r="AG774" s="199"/>
      <c r="AH774" s="199"/>
      <c r="AI774" s="227"/>
      <c r="AJ774" s="199"/>
      <c r="AK774" s="185"/>
      <c r="AL774" s="197"/>
      <c r="AM774" s="197"/>
    </row>
    <row r="775" spans="1:39" s="28" customFormat="1" ht="33">
      <c r="A775" s="72" t="s">
        <v>893</v>
      </c>
      <c r="B775" s="35"/>
      <c r="C775" s="35"/>
      <c r="D775" s="35"/>
      <c r="E775" s="37" t="s">
        <v>1230</v>
      </c>
      <c r="F775" s="37"/>
      <c r="G775" s="154" t="s">
        <v>686</v>
      </c>
      <c r="H775" s="154" t="s">
        <v>15</v>
      </c>
      <c r="I775" s="154" t="s">
        <v>16</v>
      </c>
      <c r="J775" s="125" t="s">
        <v>42</v>
      </c>
      <c r="K775" s="155" t="s">
        <v>18</v>
      </c>
      <c r="L775" s="179">
        <f t="shared" ref="L775:L791" si="125">SUM(M775:Q775)</f>
        <v>500000</v>
      </c>
      <c r="M775" s="323">
        <v>500000</v>
      </c>
      <c r="N775" s="310"/>
      <c r="O775" s="302"/>
      <c r="P775" s="302"/>
      <c r="Q775" s="302"/>
      <c r="R775" s="67"/>
      <c r="S775" s="67"/>
      <c r="T775" s="67"/>
      <c r="U775" s="67">
        <v>500000</v>
      </c>
      <c r="V775" s="9"/>
      <c r="W775" s="19"/>
      <c r="X775" s="19"/>
      <c r="Y775" s="19"/>
      <c r="Z775" s="52"/>
      <c r="AA775" s="52"/>
      <c r="AB775" s="19">
        <v>500000</v>
      </c>
      <c r="AC775" s="19"/>
      <c r="AD775" s="19"/>
      <c r="AE775" s="19"/>
      <c r="AF775" s="19"/>
      <c r="AG775" s="19"/>
      <c r="AH775" s="19"/>
      <c r="AI775" s="29"/>
      <c r="AJ775" s="156"/>
      <c r="AK775" s="156">
        <v>2021</v>
      </c>
      <c r="AL775" s="159"/>
      <c r="AM775" s="159"/>
    </row>
    <row r="776" spans="1:39" s="28" customFormat="1" ht="49.5">
      <c r="A776" s="72" t="s">
        <v>893</v>
      </c>
      <c r="B776" s="35"/>
      <c r="C776" s="35"/>
      <c r="D776" s="35"/>
      <c r="E776" s="120" t="s">
        <v>1469</v>
      </c>
      <c r="F776" s="37"/>
      <c r="G776" s="154" t="s">
        <v>675</v>
      </c>
      <c r="H776" s="154" t="s">
        <v>224</v>
      </c>
      <c r="I776" s="154" t="s">
        <v>225</v>
      </c>
      <c r="J776" s="125" t="s">
        <v>226</v>
      </c>
      <c r="K776" s="157" t="s">
        <v>695</v>
      </c>
      <c r="L776" s="179">
        <f t="shared" si="125"/>
        <v>300000</v>
      </c>
      <c r="M776" s="323">
        <v>300000</v>
      </c>
      <c r="N776" s="310"/>
      <c r="O776" s="301"/>
      <c r="P776" s="301"/>
      <c r="Q776" s="301"/>
      <c r="R776" s="67"/>
      <c r="S776" s="67"/>
      <c r="T776" s="67"/>
      <c r="U776" s="67">
        <v>300000</v>
      </c>
      <c r="V776" s="9">
        <v>3</v>
      </c>
      <c r="W776" s="19"/>
      <c r="X776" s="19"/>
      <c r="Y776" s="19"/>
      <c r="Z776" s="52"/>
      <c r="AA776" s="52"/>
      <c r="AB776" s="19">
        <v>300000</v>
      </c>
      <c r="AC776" s="19"/>
      <c r="AD776" s="19"/>
      <c r="AE776" s="19"/>
      <c r="AF776" s="19"/>
      <c r="AG776" s="19"/>
      <c r="AH776" s="19"/>
      <c r="AI776" s="29"/>
      <c r="AJ776" s="156"/>
      <c r="AK776" s="156">
        <v>2021</v>
      </c>
      <c r="AL776" s="159"/>
      <c r="AM776" s="159"/>
    </row>
    <row r="777" spans="1:39" s="28" customFormat="1" ht="49.5">
      <c r="A777" s="72" t="s">
        <v>893</v>
      </c>
      <c r="B777" s="35"/>
      <c r="C777" s="35"/>
      <c r="D777" s="35"/>
      <c r="E777" s="37" t="s">
        <v>1230</v>
      </c>
      <c r="F777" s="37"/>
      <c r="G777" s="154" t="s">
        <v>675</v>
      </c>
      <c r="H777" s="154" t="s">
        <v>224</v>
      </c>
      <c r="I777" s="154" t="s">
        <v>225</v>
      </c>
      <c r="J777" s="125" t="s">
        <v>226</v>
      </c>
      <c r="K777" s="157" t="s">
        <v>694</v>
      </c>
      <c r="L777" s="179">
        <f t="shared" si="125"/>
        <v>2000000</v>
      </c>
      <c r="M777" s="323">
        <v>2000000</v>
      </c>
      <c r="N777" s="310"/>
      <c r="O777" s="302"/>
      <c r="P777" s="302"/>
      <c r="Q777" s="302"/>
      <c r="R777" s="68"/>
      <c r="S777" s="68"/>
      <c r="T777" s="68"/>
      <c r="U777" s="68">
        <f>1000000+2000000</f>
        <v>3000000</v>
      </c>
      <c r="V777" s="9">
        <v>1.2</v>
      </c>
      <c r="W777" s="19"/>
      <c r="X777" s="19">
        <v>1087000</v>
      </c>
      <c r="Y777" s="19" t="e">
        <f>#REF!-X777</f>
        <v>#REF!</v>
      </c>
      <c r="Z777" s="52"/>
      <c r="AA777" s="52"/>
      <c r="AB777" s="19"/>
      <c r="AC777" s="19"/>
      <c r="AD777" s="19"/>
      <c r="AE777" s="19"/>
      <c r="AF777" s="19"/>
      <c r="AG777" s="19"/>
      <c r="AH777" s="19"/>
      <c r="AI777" s="29"/>
      <c r="AJ777" s="156">
        <v>100</v>
      </c>
      <c r="AK777" s="156">
        <v>2021</v>
      </c>
      <c r="AL777" s="159"/>
      <c r="AM777" s="159"/>
    </row>
    <row r="778" spans="1:39" s="28" customFormat="1" ht="33">
      <c r="A778" s="72" t="s">
        <v>893</v>
      </c>
      <c r="B778" s="35"/>
      <c r="C778" s="35"/>
      <c r="D778" s="35"/>
      <c r="E778" s="120" t="s">
        <v>1469</v>
      </c>
      <c r="F778" s="37"/>
      <c r="G778" s="154" t="s">
        <v>675</v>
      </c>
      <c r="H778" s="154" t="s">
        <v>224</v>
      </c>
      <c r="I778" s="154" t="s">
        <v>225</v>
      </c>
      <c r="J778" s="125" t="s">
        <v>226</v>
      </c>
      <c r="K778" s="157" t="s">
        <v>1158</v>
      </c>
      <c r="L778" s="179">
        <f t="shared" si="125"/>
        <v>200000</v>
      </c>
      <c r="M778" s="323">
        <v>200000</v>
      </c>
      <c r="N778" s="310"/>
      <c r="O778" s="301"/>
      <c r="P778" s="301"/>
      <c r="Q778" s="301"/>
      <c r="R778" s="67"/>
      <c r="S778" s="67"/>
      <c r="T778" s="67"/>
      <c r="U778" s="67">
        <v>200000</v>
      </c>
      <c r="V778" s="9">
        <v>3</v>
      </c>
      <c r="W778" s="19"/>
      <c r="X778" s="19"/>
      <c r="Y778" s="19"/>
      <c r="Z778" s="52"/>
      <c r="AA778" s="52"/>
      <c r="AB778" s="19">
        <v>200000</v>
      </c>
      <c r="AC778" s="19"/>
      <c r="AD778" s="19"/>
      <c r="AE778" s="19"/>
      <c r="AF778" s="19"/>
      <c r="AG778" s="19"/>
      <c r="AH778" s="19"/>
      <c r="AI778" s="29"/>
      <c r="AJ778" s="156"/>
      <c r="AK778" s="156">
        <v>2021</v>
      </c>
      <c r="AL778" s="159"/>
      <c r="AM778" s="159"/>
    </row>
    <row r="779" spans="1:39" s="28" customFormat="1" ht="66">
      <c r="A779" s="72" t="s">
        <v>893</v>
      </c>
      <c r="B779" s="35"/>
      <c r="C779" s="35"/>
      <c r="D779" s="35"/>
      <c r="E779" s="37" t="s">
        <v>901</v>
      </c>
      <c r="F779" s="37"/>
      <c r="G779" s="154" t="s">
        <v>674</v>
      </c>
      <c r="H779" s="154">
        <v>7310</v>
      </c>
      <c r="I779" s="154" t="s">
        <v>108</v>
      </c>
      <c r="J779" s="125" t="s">
        <v>186</v>
      </c>
      <c r="K779" s="157" t="s">
        <v>1159</v>
      </c>
      <c r="L779" s="179">
        <f t="shared" si="125"/>
        <v>469072</v>
      </c>
      <c r="M779" s="323">
        <v>469072</v>
      </c>
      <c r="N779" s="310"/>
      <c r="O779" s="301"/>
      <c r="P779" s="301"/>
      <c r="Q779" s="301"/>
      <c r="R779" s="67"/>
      <c r="S779" s="67"/>
      <c r="T779" s="67"/>
      <c r="U779" s="67">
        <v>500000</v>
      </c>
      <c r="V779" s="9">
        <v>3</v>
      </c>
      <c r="W779" s="19"/>
      <c r="X779" s="19"/>
      <c r="Y779" s="19"/>
      <c r="Z779" s="52"/>
      <c r="AA779" s="52"/>
      <c r="AB779" s="19">
        <v>500000</v>
      </c>
      <c r="AC779" s="19"/>
      <c r="AD779" s="19"/>
      <c r="AE779" s="19"/>
      <c r="AF779" s="19"/>
      <c r="AG779" s="19"/>
      <c r="AH779" s="19"/>
      <c r="AI779" s="29"/>
      <c r="AJ779" s="156">
        <v>100</v>
      </c>
      <c r="AK779" s="156" t="s">
        <v>394</v>
      </c>
      <c r="AL779" s="159">
        <v>2255132</v>
      </c>
      <c r="AM779" s="159">
        <v>100</v>
      </c>
    </row>
    <row r="780" spans="1:39" s="28" customFormat="1" ht="33">
      <c r="A780" s="72" t="s">
        <v>893</v>
      </c>
      <c r="B780" s="35"/>
      <c r="C780" s="35"/>
      <c r="D780" s="35"/>
      <c r="E780" s="37" t="s">
        <v>904</v>
      </c>
      <c r="F780" s="37"/>
      <c r="G780" s="154" t="s">
        <v>674</v>
      </c>
      <c r="H780" s="154">
        <v>7310</v>
      </c>
      <c r="I780" s="154" t="s">
        <v>108</v>
      </c>
      <c r="J780" s="125" t="s">
        <v>186</v>
      </c>
      <c r="K780" s="157" t="s">
        <v>1160</v>
      </c>
      <c r="L780" s="179">
        <f t="shared" si="125"/>
        <v>560000</v>
      </c>
      <c r="M780" s="323">
        <v>560000</v>
      </c>
      <c r="N780" s="310"/>
      <c r="O780" s="301"/>
      <c r="P780" s="301"/>
      <c r="Q780" s="301"/>
      <c r="R780" s="67"/>
      <c r="S780" s="67"/>
      <c r="T780" s="67"/>
      <c r="U780" s="67">
        <v>700000</v>
      </c>
      <c r="V780" s="9">
        <v>1.2</v>
      </c>
      <c r="W780" s="19"/>
      <c r="X780" s="19">
        <v>469072</v>
      </c>
      <c r="Y780" s="19" t="e">
        <f>#REF!-X780</f>
        <v>#REF!</v>
      </c>
      <c r="Z780" s="52"/>
      <c r="AA780" s="52"/>
      <c r="AB780" s="19"/>
      <c r="AC780" s="19"/>
      <c r="AD780" s="19"/>
      <c r="AE780" s="19"/>
      <c r="AF780" s="19"/>
      <c r="AG780" s="19"/>
      <c r="AH780" s="19"/>
      <c r="AI780" s="29"/>
      <c r="AJ780" s="156">
        <v>100</v>
      </c>
      <c r="AK780" s="162" t="s">
        <v>271</v>
      </c>
      <c r="AL780" s="159">
        <v>588093</v>
      </c>
      <c r="AM780" s="159">
        <v>100</v>
      </c>
    </row>
    <row r="781" spans="1:39" s="28" customFormat="1" ht="33">
      <c r="A781" s="72" t="s">
        <v>893</v>
      </c>
      <c r="B781" s="35"/>
      <c r="C781" s="35"/>
      <c r="D781" s="35"/>
      <c r="E781" s="37" t="s">
        <v>903</v>
      </c>
      <c r="F781" s="37"/>
      <c r="G781" s="154" t="s">
        <v>674</v>
      </c>
      <c r="H781" s="154">
        <v>7310</v>
      </c>
      <c r="I781" s="154" t="s">
        <v>108</v>
      </c>
      <c r="J781" s="125" t="s">
        <v>186</v>
      </c>
      <c r="K781" s="157" t="s">
        <v>687</v>
      </c>
      <c r="L781" s="179">
        <f t="shared" si="125"/>
        <v>6000000</v>
      </c>
      <c r="M781" s="323">
        <v>6000000</v>
      </c>
      <c r="N781" s="310"/>
      <c r="O781" s="302"/>
      <c r="P781" s="302"/>
      <c r="Q781" s="302"/>
      <c r="R781" s="68"/>
      <c r="S781" s="68"/>
      <c r="T781" s="68"/>
      <c r="U781" s="68">
        <v>560000</v>
      </c>
      <c r="V781" s="9">
        <v>1</v>
      </c>
      <c r="W781" s="19"/>
      <c r="X781" s="19">
        <v>560000</v>
      </c>
      <c r="Y781" s="19"/>
      <c r="Z781" s="52"/>
      <c r="AA781" s="52"/>
      <c r="AB781" s="19"/>
      <c r="AC781" s="19"/>
      <c r="AD781" s="19"/>
      <c r="AE781" s="19"/>
      <c r="AF781" s="19"/>
      <c r="AG781" s="19"/>
      <c r="AH781" s="19"/>
      <c r="AI781" s="29"/>
      <c r="AJ781" s="167">
        <v>37.9</v>
      </c>
      <c r="AK781" s="156" t="s">
        <v>688</v>
      </c>
      <c r="AL781" s="159">
        <v>32851000</v>
      </c>
      <c r="AM781" s="159">
        <v>21.1</v>
      </c>
    </row>
    <row r="782" spans="1:39" s="28" customFormat="1" ht="49.5">
      <c r="A782" s="72" t="s">
        <v>893</v>
      </c>
      <c r="B782" s="35"/>
      <c r="C782" s="35"/>
      <c r="D782" s="35"/>
      <c r="E782" s="37" t="s">
        <v>901</v>
      </c>
      <c r="F782" s="37"/>
      <c r="G782" s="154" t="s">
        <v>674</v>
      </c>
      <c r="H782" s="154">
        <v>7310</v>
      </c>
      <c r="I782" s="154" t="s">
        <v>108</v>
      </c>
      <c r="J782" s="125" t="s">
        <v>186</v>
      </c>
      <c r="K782" s="157" t="s">
        <v>689</v>
      </c>
      <c r="L782" s="179">
        <f t="shared" si="125"/>
        <v>1000000</v>
      </c>
      <c r="M782" s="323">
        <v>1000000</v>
      </c>
      <c r="N782" s="310"/>
      <c r="O782" s="302"/>
      <c r="P782" s="302"/>
      <c r="Q782" s="302"/>
      <c r="R782" s="68"/>
      <c r="S782" s="68"/>
      <c r="T782" s="68"/>
      <c r="U782" s="68">
        <v>10000000</v>
      </c>
      <c r="V782" s="9">
        <v>1.2</v>
      </c>
      <c r="W782" s="19"/>
      <c r="X782" s="19">
        <v>4111052</v>
      </c>
      <c r="Y782" s="19">
        <v>5888948</v>
      </c>
      <c r="Z782" s="52"/>
      <c r="AA782" s="52"/>
      <c r="AB782" s="19"/>
      <c r="AC782" s="19"/>
      <c r="AD782" s="19"/>
      <c r="AE782" s="19"/>
      <c r="AF782" s="19"/>
      <c r="AG782" s="19"/>
      <c r="AH782" s="19"/>
      <c r="AI782" s="29"/>
      <c r="AJ782" s="167">
        <v>36.200000000000003</v>
      </c>
      <c r="AK782" s="156" t="s">
        <v>688</v>
      </c>
      <c r="AL782" s="159">
        <v>32700000</v>
      </c>
      <c r="AM782" s="159">
        <v>16.899999999999999</v>
      </c>
    </row>
    <row r="783" spans="1:39" s="28" customFormat="1" ht="33">
      <c r="A783" s="72" t="s">
        <v>893</v>
      </c>
      <c r="B783" s="35"/>
      <c r="C783" s="35"/>
      <c r="D783" s="35"/>
      <c r="E783" s="37" t="s">
        <v>905</v>
      </c>
      <c r="F783" s="37"/>
      <c r="G783" s="154" t="s">
        <v>674</v>
      </c>
      <c r="H783" s="154">
        <v>7310</v>
      </c>
      <c r="I783" s="154" t="s">
        <v>108</v>
      </c>
      <c r="J783" s="125" t="s">
        <v>186</v>
      </c>
      <c r="K783" s="157" t="s">
        <v>859</v>
      </c>
      <c r="L783" s="179">
        <f t="shared" si="125"/>
        <v>1250000</v>
      </c>
      <c r="M783" s="323">
        <v>1250000</v>
      </c>
      <c r="N783" s="310"/>
      <c r="O783" s="302"/>
      <c r="P783" s="302"/>
      <c r="Q783" s="302"/>
      <c r="R783" s="68"/>
      <c r="S783" s="68"/>
      <c r="T783" s="68"/>
      <c r="U783" s="68">
        <f>7000000-2500000</f>
        <v>4500000</v>
      </c>
      <c r="V783" s="9">
        <v>1.2</v>
      </c>
      <c r="W783" s="19"/>
      <c r="X783" s="19">
        <v>573625</v>
      </c>
      <c r="Y783" s="19" t="e">
        <f>#REF!-X783</f>
        <v>#REF!</v>
      </c>
      <c r="Z783" s="52"/>
      <c r="AA783" s="52"/>
      <c r="AB783" s="19"/>
      <c r="AC783" s="19"/>
      <c r="AD783" s="19"/>
      <c r="AE783" s="19"/>
      <c r="AF783" s="19"/>
      <c r="AG783" s="19"/>
      <c r="AH783" s="19"/>
      <c r="AI783" s="29"/>
      <c r="AJ783" s="167">
        <v>53.7</v>
      </c>
      <c r="AK783" s="156" t="s">
        <v>366</v>
      </c>
      <c r="AL783" s="159">
        <v>19377000</v>
      </c>
      <c r="AM783" s="159">
        <v>53.7</v>
      </c>
    </row>
    <row r="784" spans="1:39" s="28" customFormat="1" ht="33">
      <c r="A784" s="72" t="s">
        <v>893</v>
      </c>
      <c r="B784" s="35"/>
      <c r="C784" s="35"/>
      <c r="D784" s="35"/>
      <c r="E784" s="37" t="s">
        <v>902</v>
      </c>
      <c r="F784" s="37"/>
      <c r="G784" s="154" t="s">
        <v>674</v>
      </c>
      <c r="H784" s="154">
        <v>7310</v>
      </c>
      <c r="I784" s="154" t="s">
        <v>108</v>
      </c>
      <c r="J784" s="125" t="s">
        <v>186</v>
      </c>
      <c r="K784" s="157" t="s">
        <v>690</v>
      </c>
      <c r="L784" s="179">
        <f t="shared" si="125"/>
        <v>4000000</v>
      </c>
      <c r="M784" s="323">
        <v>4000000</v>
      </c>
      <c r="N784" s="310"/>
      <c r="O784" s="302"/>
      <c r="P784" s="302"/>
      <c r="Q784" s="302"/>
      <c r="R784" s="68"/>
      <c r="S784" s="68"/>
      <c r="T784" s="68"/>
      <c r="U784" s="68">
        <v>1250000</v>
      </c>
      <c r="V784" s="9">
        <v>1.2</v>
      </c>
      <c r="W784" s="19"/>
      <c r="X784" s="19">
        <v>733020</v>
      </c>
      <c r="Y784" s="19">
        <v>516980</v>
      </c>
      <c r="Z784" s="52"/>
      <c r="AA784" s="52"/>
      <c r="AB784" s="19"/>
      <c r="AC784" s="19"/>
      <c r="AD784" s="19"/>
      <c r="AE784" s="19"/>
      <c r="AF784" s="19"/>
      <c r="AG784" s="19"/>
      <c r="AH784" s="19"/>
      <c r="AI784" s="29"/>
      <c r="AJ784" s="156">
        <v>100</v>
      </c>
      <c r="AK784" s="156" t="s">
        <v>346</v>
      </c>
      <c r="AL784" s="159">
        <v>19248000</v>
      </c>
      <c r="AM784" s="159">
        <v>48.7</v>
      </c>
    </row>
    <row r="785" spans="1:39" s="28" customFormat="1" ht="33">
      <c r="A785" s="72" t="s">
        <v>893</v>
      </c>
      <c r="B785" s="35"/>
      <c r="C785" s="35"/>
      <c r="D785" s="35"/>
      <c r="E785" s="37" t="s">
        <v>902</v>
      </c>
      <c r="F785" s="37"/>
      <c r="G785" s="154" t="s">
        <v>674</v>
      </c>
      <c r="H785" s="154">
        <v>7310</v>
      </c>
      <c r="I785" s="154" t="s">
        <v>108</v>
      </c>
      <c r="J785" s="125" t="s">
        <v>186</v>
      </c>
      <c r="K785" s="157" t="s">
        <v>691</v>
      </c>
      <c r="L785" s="179">
        <f t="shared" si="125"/>
        <v>3300000</v>
      </c>
      <c r="M785" s="323">
        <v>3300000</v>
      </c>
      <c r="N785" s="310"/>
      <c r="O785" s="302"/>
      <c r="P785" s="302"/>
      <c r="Q785" s="302"/>
      <c r="R785" s="68"/>
      <c r="S785" s="68"/>
      <c r="T785" s="68"/>
      <c r="U785" s="68">
        <f>10000000-2110000-1000000</f>
        <v>6890000</v>
      </c>
      <c r="V785" s="9">
        <v>1.2</v>
      </c>
      <c r="W785" s="19"/>
      <c r="X785" s="19">
        <v>325853</v>
      </c>
      <c r="Y785" s="19" t="e">
        <f>#REF!-X785</f>
        <v>#REF!</v>
      </c>
      <c r="Z785" s="52"/>
      <c r="AA785" s="52"/>
      <c r="AB785" s="19"/>
      <c r="AC785" s="19"/>
      <c r="AD785" s="19"/>
      <c r="AE785" s="19"/>
      <c r="AF785" s="19"/>
      <c r="AG785" s="19"/>
      <c r="AH785" s="19"/>
      <c r="AI785" s="29"/>
      <c r="AJ785" s="156">
        <v>100</v>
      </c>
      <c r="AK785" s="156" t="s">
        <v>346</v>
      </c>
      <c r="AL785" s="159">
        <v>12772000</v>
      </c>
      <c r="AM785" s="159">
        <v>79.3</v>
      </c>
    </row>
    <row r="786" spans="1:39" s="28" customFormat="1" ht="33">
      <c r="A786" s="72" t="s">
        <v>893</v>
      </c>
      <c r="B786" s="35"/>
      <c r="C786" s="35"/>
      <c r="D786" s="35"/>
      <c r="E786" s="37" t="s">
        <v>902</v>
      </c>
      <c r="F786" s="37"/>
      <c r="G786" s="154" t="s">
        <v>674</v>
      </c>
      <c r="H786" s="154">
        <v>7310</v>
      </c>
      <c r="I786" s="154" t="s">
        <v>108</v>
      </c>
      <c r="J786" s="125" t="s">
        <v>186</v>
      </c>
      <c r="K786" s="157" t="s">
        <v>692</v>
      </c>
      <c r="L786" s="179">
        <f t="shared" si="125"/>
        <v>2000000</v>
      </c>
      <c r="M786" s="323">
        <v>2000000</v>
      </c>
      <c r="N786" s="310"/>
      <c r="O786" s="302"/>
      <c r="P786" s="302"/>
      <c r="Q786" s="302"/>
      <c r="R786" s="68"/>
      <c r="S786" s="68"/>
      <c r="T786" s="68"/>
      <c r="U786" s="68">
        <v>3300000</v>
      </c>
      <c r="V786" s="9">
        <v>1.2</v>
      </c>
      <c r="W786" s="19"/>
      <c r="X786" s="19">
        <v>657290</v>
      </c>
      <c r="Y786" s="19" t="e">
        <f>#REF!-X786</f>
        <v>#REF!</v>
      </c>
      <c r="Z786" s="52"/>
      <c r="AA786" s="52"/>
      <c r="AB786" s="19"/>
      <c r="AC786" s="19"/>
      <c r="AD786" s="19"/>
      <c r="AE786" s="19"/>
      <c r="AF786" s="19"/>
      <c r="AG786" s="19"/>
      <c r="AH786" s="19"/>
      <c r="AI786" s="29"/>
      <c r="AJ786" s="156"/>
      <c r="AK786" s="156" t="s">
        <v>693</v>
      </c>
      <c r="AL786" s="159">
        <v>25203220</v>
      </c>
      <c r="AM786" s="159"/>
    </row>
    <row r="787" spans="1:39" s="28" customFormat="1" ht="33">
      <c r="A787" s="72" t="s">
        <v>893</v>
      </c>
      <c r="B787" s="35"/>
      <c r="C787" s="35"/>
      <c r="D787" s="35"/>
      <c r="E787" s="37" t="s">
        <v>905</v>
      </c>
      <c r="F787" s="37"/>
      <c r="G787" s="154" t="s">
        <v>674</v>
      </c>
      <c r="H787" s="154">
        <v>7310</v>
      </c>
      <c r="I787" s="154" t="s">
        <v>108</v>
      </c>
      <c r="J787" s="125" t="s">
        <v>186</v>
      </c>
      <c r="K787" s="157" t="s">
        <v>733</v>
      </c>
      <c r="L787" s="179">
        <f t="shared" si="125"/>
        <v>800000</v>
      </c>
      <c r="M787" s="323">
        <v>800000</v>
      </c>
      <c r="N787" s="310"/>
      <c r="O787" s="302"/>
      <c r="P787" s="302"/>
      <c r="Q787" s="302"/>
      <c r="R787" s="68"/>
      <c r="S787" s="68"/>
      <c r="T787" s="68"/>
      <c r="U787" s="68">
        <v>2000000</v>
      </c>
      <c r="V787" s="9">
        <v>1.2</v>
      </c>
      <c r="W787" s="19"/>
      <c r="X787" s="19">
        <v>500000</v>
      </c>
      <c r="Y787" s="19" t="e">
        <f>#REF!-X787</f>
        <v>#REF!</v>
      </c>
      <c r="Z787" s="52"/>
      <c r="AA787" s="52"/>
      <c r="AB787" s="19"/>
      <c r="AC787" s="19"/>
      <c r="AD787" s="19"/>
      <c r="AE787" s="19"/>
      <c r="AF787" s="19"/>
      <c r="AG787" s="19"/>
      <c r="AH787" s="19"/>
      <c r="AI787" s="29"/>
      <c r="AJ787" s="156"/>
      <c r="AK787" s="156">
        <v>2021</v>
      </c>
      <c r="AL787" s="159"/>
      <c r="AM787" s="159"/>
    </row>
    <row r="788" spans="1:39" s="28" customFormat="1" ht="66">
      <c r="A788" s="72" t="s">
        <v>893</v>
      </c>
      <c r="B788" s="35"/>
      <c r="C788" s="35"/>
      <c r="D788" s="35"/>
      <c r="E788" s="37" t="s">
        <v>901</v>
      </c>
      <c r="F788" s="37"/>
      <c r="G788" s="154" t="s">
        <v>674</v>
      </c>
      <c r="H788" s="154">
        <v>7310</v>
      </c>
      <c r="I788" s="154" t="s">
        <v>108</v>
      </c>
      <c r="J788" s="125" t="s">
        <v>186</v>
      </c>
      <c r="K788" s="157" t="s">
        <v>1161</v>
      </c>
      <c r="L788" s="179">
        <f t="shared" si="125"/>
        <v>350000</v>
      </c>
      <c r="M788" s="323">
        <v>350000</v>
      </c>
      <c r="N788" s="310"/>
      <c r="O788" s="301"/>
      <c r="P788" s="301"/>
      <c r="Q788" s="301"/>
      <c r="R788" s="67"/>
      <c r="S788" s="67"/>
      <c r="T788" s="67"/>
      <c r="U788" s="67">
        <v>800000</v>
      </c>
      <c r="V788" s="9">
        <v>3</v>
      </c>
      <c r="W788" s="19"/>
      <c r="X788" s="19"/>
      <c r="Y788" s="19"/>
      <c r="Z788" s="52"/>
      <c r="AA788" s="52"/>
      <c r="AB788" s="19">
        <v>800000</v>
      </c>
      <c r="AC788" s="19"/>
      <c r="AD788" s="19"/>
      <c r="AE788" s="19"/>
      <c r="AF788" s="19"/>
      <c r="AG788" s="19"/>
      <c r="AH788" s="19"/>
      <c r="AI788" s="29"/>
      <c r="AJ788" s="156"/>
      <c r="AK788" s="156">
        <v>2021</v>
      </c>
      <c r="AL788" s="159"/>
      <c r="AM788" s="159"/>
    </row>
    <row r="789" spans="1:39" s="28" customFormat="1" ht="33">
      <c r="A789" s="72" t="s">
        <v>893</v>
      </c>
      <c r="B789" s="35"/>
      <c r="C789" s="35"/>
      <c r="D789" s="35"/>
      <c r="E789" s="37" t="s">
        <v>902</v>
      </c>
      <c r="F789" s="37"/>
      <c r="G789" s="154" t="s">
        <v>674</v>
      </c>
      <c r="H789" s="154">
        <v>7310</v>
      </c>
      <c r="I789" s="154" t="s">
        <v>108</v>
      </c>
      <c r="J789" s="125" t="s">
        <v>186</v>
      </c>
      <c r="K789" s="157" t="s">
        <v>860</v>
      </c>
      <c r="L789" s="179">
        <f t="shared" si="125"/>
        <v>500000</v>
      </c>
      <c r="M789" s="323">
        <v>500000</v>
      </c>
      <c r="N789" s="310"/>
      <c r="O789" s="301"/>
      <c r="P789" s="301"/>
      <c r="Q789" s="301"/>
      <c r="R789" s="67"/>
      <c r="S789" s="67"/>
      <c r="T789" s="67"/>
      <c r="U789" s="67">
        <f>500000+500000</f>
        <v>1000000</v>
      </c>
      <c r="V789" s="9">
        <v>3</v>
      </c>
      <c r="W789" s="19"/>
      <c r="X789" s="19"/>
      <c r="Y789" s="19"/>
      <c r="Z789" s="52"/>
      <c r="AA789" s="52"/>
      <c r="AB789" s="19">
        <f>500000+500000</f>
        <v>1000000</v>
      </c>
      <c r="AC789" s="19"/>
      <c r="AD789" s="19"/>
      <c r="AE789" s="19"/>
      <c r="AF789" s="19"/>
      <c r="AG789" s="19"/>
      <c r="AH789" s="19"/>
      <c r="AI789" s="29"/>
      <c r="AJ789" s="156"/>
      <c r="AK789" s="156">
        <v>2021</v>
      </c>
      <c r="AL789" s="159"/>
      <c r="AM789" s="159"/>
    </row>
    <row r="790" spans="1:39" s="28" customFormat="1" ht="33">
      <c r="A790" s="72" t="s">
        <v>893</v>
      </c>
      <c r="B790" s="35"/>
      <c r="C790" s="35"/>
      <c r="D790" s="35"/>
      <c r="E790" s="37" t="s">
        <v>904</v>
      </c>
      <c r="F790" s="37"/>
      <c r="G790" s="154" t="s">
        <v>674</v>
      </c>
      <c r="H790" s="154">
        <v>7310</v>
      </c>
      <c r="I790" s="154" t="s">
        <v>108</v>
      </c>
      <c r="J790" s="125" t="s">
        <v>186</v>
      </c>
      <c r="K790" s="157" t="s">
        <v>861</v>
      </c>
      <c r="L790" s="179">
        <f t="shared" si="125"/>
        <v>500000</v>
      </c>
      <c r="M790" s="323">
        <v>500000</v>
      </c>
      <c r="N790" s="310"/>
      <c r="O790" s="301"/>
      <c r="P790" s="301"/>
      <c r="Q790" s="301"/>
      <c r="R790" s="67"/>
      <c r="S790" s="67"/>
      <c r="T790" s="67"/>
      <c r="U790" s="67">
        <v>1500000</v>
      </c>
      <c r="V790" s="9">
        <v>3</v>
      </c>
      <c r="W790" s="19"/>
      <c r="X790" s="19"/>
      <c r="Y790" s="19"/>
      <c r="Z790" s="52"/>
      <c r="AA790" s="52"/>
      <c r="AB790" s="19">
        <v>1500000</v>
      </c>
      <c r="AC790" s="19"/>
      <c r="AD790" s="19"/>
      <c r="AE790" s="19"/>
      <c r="AF790" s="19"/>
      <c r="AG790" s="19"/>
      <c r="AH790" s="19"/>
      <c r="AI790" s="29"/>
      <c r="AJ790" s="156"/>
      <c r="AK790" s="156">
        <v>2021</v>
      </c>
      <c r="AL790" s="159"/>
      <c r="AM790" s="159"/>
    </row>
    <row r="791" spans="1:39" s="28" customFormat="1" ht="33">
      <c r="A791" s="72" t="s">
        <v>893</v>
      </c>
      <c r="B791" s="35"/>
      <c r="C791" s="35"/>
      <c r="D791" s="35"/>
      <c r="E791" s="120" t="s">
        <v>1469</v>
      </c>
      <c r="F791" s="37"/>
      <c r="G791" s="154" t="s">
        <v>960</v>
      </c>
      <c r="H791" s="154" t="s">
        <v>716</v>
      </c>
      <c r="I791" s="154" t="s">
        <v>108</v>
      </c>
      <c r="J791" s="125" t="s">
        <v>717</v>
      </c>
      <c r="K791" s="157" t="s">
        <v>924</v>
      </c>
      <c r="L791" s="179">
        <f t="shared" si="125"/>
        <v>300000</v>
      </c>
      <c r="M791" s="323">
        <v>300000</v>
      </c>
      <c r="N791" s="310"/>
      <c r="O791" s="301"/>
      <c r="P791" s="301"/>
      <c r="Q791" s="301"/>
      <c r="R791" s="67"/>
      <c r="S791" s="67"/>
      <c r="T791" s="67"/>
      <c r="U791" s="67">
        <v>500000</v>
      </c>
      <c r="V791" s="9">
        <v>3</v>
      </c>
      <c r="W791" s="19"/>
      <c r="X791" s="19"/>
      <c r="Y791" s="19"/>
      <c r="Z791" s="52"/>
      <c r="AA791" s="52"/>
      <c r="AB791" s="19">
        <v>500000</v>
      </c>
      <c r="AC791" s="19"/>
      <c r="AD791" s="19"/>
      <c r="AE791" s="19"/>
      <c r="AF791" s="19"/>
      <c r="AG791" s="19"/>
      <c r="AH791" s="19"/>
      <c r="AI791" s="29"/>
      <c r="AJ791" s="156"/>
      <c r="AK791" s="156">
        <v>2021</v>
      </c>
      <c r="AL791" s="159"/>
      <c r="AM791" s="159"/>
    </row>
    <row r="792" spans="1:39" s="223" customFormat="1" ht="33">
      <c r="A792" s="193" t="s">
        <v>894</v>
      </c>
      <c r="B792" s="181" t="s">
        <v>193</v>
      </c>
      <c r="C792" s="181"/>
      <c r="D792" s="181"/>
      <c r="E792" s="182" t="s">
        <v>1225</v>
      </c>
      <c r="F792" s="182"/>
      <c r="G792" s="183" t="s">
        <v>125</v>
      </c>
      <c r="H792" s="183"/>
      <c r="I792" s="183"/>
      <c r="J792" s="184" t="s">
        <v>126</v>
      </c>
      <c r="K792" s="226"/>
      <c r="L792" s="287">
        <f t="shared" ref="L792:Q792" si="126">SUM(L794:L795)</f>
        <v>732000</v>
      </c>
      <c r="M792" s="288">
        <f t="shared" si="126"/>
        <v>732000</v>
      </c>
      <c r="N792" s="289">
        <f t="shared" si="126"/>
        <v>0</v>
      </c>
      <c r="O792" s="289">
        <f t="shared" si="126"/>
        <v>0</v>
      </c>
      <c r="P792" s="289">
        <f t="shared" si="126"/>
        <v>0</v>
      </c>
      <c r="Q792" s="289">
        <f t="shared" si="126"/>
        <v>0</v>
      </c>
      <c r="R792" s="187">
        <f t="shared" ref="R792:R793" si="127">L792-M792-N792-O792-P792-Q792</f>
        <v>0</v>
      </c>
      <c r="S792" s="187"/>
      <c r="T792" s="187"/>
      <c r="U792" s="187">
        <f>SUM(U794:U795)</f>
        <v>832000</v>
      </c>
      <c r="V792" s="187"/>
      <c r="W792" s="187">
        <f>SUM(W794:W795)</f>
        <v>0</v>
      </c>
      <c r="X792" s="187">
        <f>SUM(X794:X795)</f>
        <v>0</v>
      </c>
      <c r="Y792" s="187">
        <f>SUM(Y794:Y795)</f>
        <v>0</v>
      </c>
      <c r="Z792" s="187"/>
      <c r="AA792" s="187"/>
      <c r="AB792" s="187">
        <f>SUM(AB794:AB795)</f>
        <v>1808000</v>
      </c>
      <c r="AC792" s="187">
        <f>X792+Y792+AB792-N792</f>
        <v>1808000</v>
      </c>
      <c r="AD792" s="187">
        <f>SUM(AD794:AD795)</f>
        <v>0</v>
      </c>
      <c r="AE792" s="187">
        <f>SUM(AE794:AE795)</f>
        <v>0</v>
      </c>
      <c r="AF792" s="187">
        <f>SUM(AF794:AF795)</f>
        <v>0</v>
      </c>
      <c r="AG792" s="187">
        <f>SUM(AG794:AG795)</f>
        <v>0</v>
      </c>
      <c r="AH792" s="187">
        <f>SUM(AH794:AH795)</f>
        <v>0</v>
      </c>
      <c r="AI792" s="227"/>
      <c r="AJ792" s="187"/>
      <c r="AK792" s="185"/>
      <c r="AL792" s="197"/>
      <c r="AM792" s="197"/>
    </row>
    <row r="793" spans="1:39" s="223" customFormat="1" ht="33">
      <c r="A793" s="193" t="s">
        <v>894</v>
      </c>
      <c r="B793" s="224"/>
      <c r="C793" s="224"/>
      <c r="D793" s="224"/>
      <c r="E793" s="225" t="s">
        <v>1225</v>
      </c>
      <c r="F793" s="225"/>
      <c r="G793" s="183" t="s">
        <v>127</v>
      </c>
      <c r="H793" s="183"/>
      <c r="I793" s="183"/>
      <c r="J793" s="190" t="s">
        <v>126</v>
      </c>
      <c r="K793" s="226"/>
      <c r="L793" s="290"/>
      <c r="M793" s="291"/>
      <c r="N793" s="297"/>
      <c r="O793" s="297"/>
      <c r="P793" s="297"/>
      <c r="Q793" s="297"/>
      <c r="R793" s="187">
        <f t="shared" si="127"/>
        <v>0</v>
      </c>
      <c r="S793" s="199"/>
      <c r="T793" s="199"/>
      <c r="U793" s="199"/>
      <c r="V793" s="200"/>
      <c r="W793" s="199"/>
      <c r="X793" s="199"/>
      <c r="Y793" s="199"/>
      <c r="Z793" s="199"/>
      <c r="AA793" s="199"/>
      <c r="AB793" s="199"/>
      <c r="AC793" s="199"/>
      <c r="AD793" s="199"/>
      <c r="AE793" s="199"/>
      <c r="AF793" s="199"/>
      <c r="AG793" s="199"/>
      <c r="AH793" s="199"/>
      <c r="AI793" s="227"/>
      <c r="AJ793" s="199"/>
      <c r="AK793" s="185"/>
      <c r="AL793" s="197"/>
      <c r="AM793" s="197"/>
    </row>
    <row r="794" spans="1:39" s="28" customFormat="1" ht="49.5">
      <c r="A794" s="34" t="s">
        <v>894</v>
      </c>
      <c r="B794" s="35"/>
      <c r="C794" s="35"/>
      <c r="D794" s="35"/>
      <c r="E794" s="120" t="s">
        <v>1469</v>
      </c>
      <c r="F794" s="37"/>
      <c r="G794" s="80" t="s">
        <v>128</v>
      </c>
      <c r="H794" s="80" t="s">
        <v>15</v>
      </c>
      <c r="I794" s="80" t="s">
        <v>16</v>
      </c>
      <c r="J794" s="95" t="s">
        <v>708</v>
      </c>
      <c r="K794" s="86" t="s">
        <v>130</v>
      </c>
      <c r="L794" s="179">
        <f>SUM(M794:Q794)</f>
        <v>40000</v>
      </c>
      <c r="M794" s="323">
        <v>40000</v>
      </c>
      <c r="N794" s="310"/>
      <c r="O794" s="301"/>
      <c r="P794" s="301"/>
      <c r="Q794" s="301"/>
      <c r="R794" s="67"/>
      <c r="S794" s="67"/>
      <c r="T794" s="67"/>
      <c r="U794" s="67">
        <v>40000</v>
      </c>
      <c r="V794" s="9">
        <v>3</v>
      </c>
      <c r="W794" s="19"/>
      <c r="X794" s="19"/>
      <c r="Y794" s="19"/>
      <c r="Z794" s="52"/>
      <c r="AA794" s="52"/>
      <c r="AB794" s="19">
        <v>40000</v>
      </c>
      <c r="AC794" s="19"/>
      <c r="AD794" s="19"/>
      <c r="AE794" s="19"/>
      <c r="AF794" s="19"/>
      <c r="AG794" s="19"/>
      <c r="AH794" s="19"/>
      <c r="AI794" s="29"/>
      <c r="AJ794" s="78"/>
      <c r="AK794" s="78">
        <v>2021</v>
      </c>
      <c r="AL794" s="84"/>
      <c r="AM794" s="84"/>
    </row>
    <row r="795" spans="1:39" s="28" customFormat="1" ht="66">
      <c r="A795" s="34" t="s">
        <v>894</v>
      </c>
      <c r="B795" s="35"/>
      <c r="C795" s="35"/>
      <c r="D795" s="35"/>
      <c r="E795" s="120" t="s">
        <v>1469</v>
      </c>
      <c r="F795" s="37"/>
      <c r="G795" s="80" t="s">
        <v>131</v>
      </c>
      <c r="H795" s="80" t="s">
        <v>132</v>
      </c>
      <c r="I795" s="80" t="s">
        <v>133</v>
      </c>
      <c r="J795" s="95" t="s">
        <v>134</v>
      </c>
      <c r="K795" s="86" t="s">
        <v>135</v>
      </c>
      <c r="L795" s="179">
        <f>SUM(M795:Q795)</f>
        <v>692000</v>
      </c>
      <c r="M795" s="323">
        <v>692000</v>
      </c>
      <c r="N795" s="310"/>
      <c r="O795" s="302"/>
      <c r="P795" s="302"/>
      <c r="Q795" s="302"/>
      <c r="R795" s="41"/>
      <c r="S795" s="41"/>
      <c r="T795" s="41"/>
      <c r="U795" s="41">
        <f>1768000-976000</f>
        <v>792000</v>
      </c>
      <c r="V795" s="9">
        <v>3</v>
      </c>
      <c r="W795" s="19"/>
      <c r="X795" s="19"/>
      <c r="Y795" s="19"/>
      <c r="Z795" s="52"/>
      <c r="AA795" s="52">
        <f>976000+674000</f>
        <v>1650000</v>
      </c>
      <c r="AB795" s="19">
        <v>1768000</v>
      </c>
      <c r="AC795" s="19"/>
      <c r="AD795" s="19"/>
      <c r="AE795" s="19"/>
      <c r="AF795" s="19"/>
      <c r="AG795" s="19"/>
      <c r="AH795" s="19"/>
      <c r="AI795" s="29"/>
      <c r="AJ795" s="78"/>
      <c r="AK795" s="78">
        <v>2021</v>
      </c>
      <c r="AL795" s="84"/>
      <c r="AM795" s="84"/>
    </row>
    <row r="796" spans="1:39" s="223" customFormat="1">
      <c r="A796" s="193" t="s">
        <v>895</v>
      </c>
      <c r="B796" s="181" t="s">
        <v>193</v>
      </c>
      <c r="C796" s="181"/>
      <c r="D796" s="181"/>
      <c r="E796" s="182" t="s">
        <v>1225</v>
      </c>
      <c r="F796" s="182"/>
      <c r="G796" s="183" t="s">
        <v>136</v>
      </c>
      <c r="H796" s="183"/>
      <c r="I796" s="183"/>
      <c r="J796" s="184" t="s">
        <v>137</v>
      </c>
      <c r="K796" s="185"/>
      <c r="L796" s="287">
        <f t="shared" ref="L796" si="128">SUM(L798)</f>
        <v>200000</v>
      </c>
      <c r="M796" s="288">
        <f>SUM(M798)</f>
        <v>200000</v>
      </c>
      <c r="N796" s="289">
        <f>SUM(N798)</f>
        <v>0</v>
      </c>
      <c r="O796" s="289">
        <f t="shared" ref="O796:P796" si="129">SUM(O798)</f>
        <v>0</v>
      </c>
      <c r="P796" s="289">
        <f t="shared" si="129"/>
        <v>0</v>
      </c>
      <c r="Q796" s="289">
        <f t="shared" ref="Q796" si="130">SUM(Q798)</f>
        <v>0</v>
      </c>
      <c r="R796" s="187">
        <f t="shared" ref="R796:R797" si="131">L796-M796-N796-O796-P796-Q796</f>
        <v>0</v>
      </c>
      <c r="S796" s="187"/>
      <c r="T796" s="187"/>
      <c r="U796" s="187">
        <f>SUM(U798)</f>
        <v>400000</v>
      </c>
      <c r="V796" s="187"/>
      <c r="W796" s="187">
        <f>SUM(W798)</f>
        <v>0</v>
      </c>
      <c r="X796" s="187">
        <f>SUM(X798)</f>
        <v>0</v>
      </c>
      <c r="Y796" s="187">
        <f>SUM(Y798)</f>
        <v>0</v>
      </c>
      <c r="Z796" s="187"/>
      <c r="AA796" s="187"/>
      <c r="AB796" s="187">
        <f>SUM(AB798)</f>
        <v>400000</v>
      </c>
      <c r="AC796" s="187">
        <f>X796+Y796+AB796-N796</f>
        <v>400000</v>
      </c>
      <c r="AD796" s="187">
        <f>SUM(AD798)</f>
        <v>0</v>
      </c>
      <c r="AE796" s="187">
        <f>SUM(AE798)</f>
        <v>0</v>
      </c>
      <c r="AF796" s="187">
        <f>SUM(AF798)</f>
        <v>0</v>
      </c>
      <c r="AG796" s="187">
        <f>SUM(AG798)</f>
        <v>0</v>
      </c>
      <c r="AH796" s="187">
        <f>SUM(AH798)</f>
        <v>0</v>
      </c>
      <c r="AI796" s="227"/>
      <c r="AJ796" s="187"/>
      <c r="AK796" s="185"/>
      <c r="AL796" s="197"/>
      <c r="AM796" s="197"/>
    </row>
    <row r="797" spans="1:39" s="223" customFormat="1">
      <c r="A797" s="193" t="s">
        <v>895</v>
      </c>
      <c r="B797" s="224"/>
      <c r="C797" s="224"/>
      <c r="D797" s="224"/>
      <c r="E797" s="225" t="s">
        <v>1225</v>
      </c>
      <c r="F797" s="225"/>
      <c r="G797" s="183" t="s">
        <v>138</v>
      </c>
      <c r="H797" s="183"/>
      <c r="I797" s="183"/>
      <c r="J797" s="190" t="s">
        <v>137</v>
      </c>
      <c r="K797" s="185"/>
      <c r="L797" s="290"/>
      <c r="M797" s="291"/>
      <c r="N797" s="297"/>
      <c r="O797" s="297"/>
      <c r="P797" s="297"/>
      <c r="Q797" s="297"/>
      <c r="R797" s="187">
        <f t="shared" si="131"/>
        <v>0</v>
      </c>
      <c r="S797" s="199"/>
      <c r="T797" s="199"/>
      <c r="U797" s="199"/>
      <c r="V797" s="200"/>
      <c r="W797" s="199"/>
      <c r="X797" s="199"/>
      <c r="Y797" s="199"/>
      <c r="Z797" s="199"/>
      <c r="AA797" s="199"/>
      <c r="AB797" s="199"/>
      <c r="AC797" s="199"/>
      <c r="AD797" s="199"/>
      <c r="AE797" s="199"/>
      <c r="AF797" s="199"/>
      <c r="AG797" s="199"/>
      <c r="AH797" s="199"/>
      <c r="AI797" s="227"/>
      <c r="AJ797" s="199"/>
      <c r="AK797" s="185"/>
      <c r="AL797" s="197"/>
      <c r="AM797" s="197"/>
    </row>
    <row r="798" spans="1:39" s="28" customFormat="1" ht="33">
      <c r="A798" s="34" t="s">
        <v>895</v>
      </c>
      <c r="B798" s="35"/>
      <c r="C798" s="35"/>
      <c r="D798" s="35"/>
      <c r="E798" s="37" t="s">
        <v>1230</v>
      </c>
      <c r="F798" s="37"/>
      <c r="G798" s="80" t="s">
        <v>139</v>
      </c>
      <c r="H798" s="80" t="s">
        <v>15</v>
      </c>
      <c r="I798" s="80" t="s">
        <v>16</v>
      </c>
      <c r="J798" s="81" t="s">
        <v>140</v>
      </c>
      <c r="K798" s="82" t="s">
        <v>18</v>
      </c>
      <c r="L798" s="179">
        <f>SUM(M798:Q798)</f>
        <v>200000</v>
      </c>
      <c r="M798" s="323">
        <v>200000</v>
      </c>
      <c r="N798" s="300"/>
      <c r="O798" s="301"/>
      <c r="P798" s="301"/>
      <c r="Q798" s="301"/>
      <c r="R798" s="67"/>
      <c r="S798" s="67"/>
      <c r="T798" s="67"/>
      <c r="U798" s="67">
        <v>400000</v>
      </c>
      <c r="V798" s="9">
        <v>3</v>
      </c>
      <c r="W798" s="19"/>
      <c r="X798" s="19"/>
      <c r="Y798" s="19"/>
      <c r="Z798" s="52"/>
      <c r="AA798" s="52"/>
      <c r="AB798" s="19">
        <v>400000</v>
      </c>
      <c r="AC798" s="19"/>
      <c r="AD798" s="19"/>
      <c r="AE798" s="19"/>
      <c r="AF798" s="19"/>
      <c r="AG798" s="19"/>
      <c r="AH798" s="19"/>
      <c r="AI798" s="29"/>
      <c r="AJ798" s="78"/>
      <c r="AK798" s="78">
        <v>2021</v>
      </c>
      <c r="AL798" s="84"/>
      <c r="AM798" s="84"/>
    </row>
    <row r="799" spans="1:39" s="229" customFormat="1">
      <c r="A799" s="193" t="s">
        <v>896</v>
      </c>
      <c r="B799" s="181" t="s">
        <v>193</v>
      </c>
      <c r="C799" s="181"/>
      <c r="D799" s="181"/>
      <c r="E799" s="182" t="s">
        <v>1225</v>
      </c>
      <c r="F799" s="182"/>
      <c r="G799" s="183" t="s">
        <v>141</v>
      </c>
      <c r="H799" s="183"/>
      <c r="I799" s="183"/>
      <c r="J799" s="184" t="s">
        <v>142</v>
      </c>
      <c r="K799" s="185"/>
      <c r="L799" s="287">
        <f t="shared" ref="L799:Q799" si="132">SUM(L801:L801)</f>
        <v>49000</v>
      </c>
      <c r="M799" s="288">
        <f t="shared" si="132"/>
        <v>49000</v>
      </c>
      <c r="N799" s="289">
        <f t="shared" si="132"/>
        <v>0</v>
      </c>
      <c r="O799" s="289">
        <f t="shared" si="132"/>
        <v>0</v>
      </c>
      <c r="P799" s="289">
        <f t="shared" si="132"/>
        <v>0</v>
      </c>
      <c r="Q799" s="289">
        <f t="shared" si="132"/>
        <v>0</v>
      </c>
      <c r="R799" s="187">
        <f t="shared" ref="R799:R800" si="133">L799-M799-N799-O799-P799-Q799</f>
        <v>0</v>
      </c>
      <c r="S799" s="187"/>
      <c r="T799" s="187"/>
      <c r="U799" s="187">
        <f>SUM(U801:U801)</f>
        <v>49000</v>
      </c>
      <c r="V799" s="187"/>
      <c r="W799" s="187">
        <f>SUM(W801:W801)</f>
        <v>0</v>
      </c>
      <c r="X799" s="187">
        <f>SUM(X801:X801)</f>
        <v>0</v>
      </c>
      <c r="Y799" s="187">
        <f>SUM(Y801:Y801)</f>
        <v>0</v>
      </c>
      <c r="Z799" s="187"/>
      <c r="AA799" s="187"/>
      <c r="AB799" s="187">
        <f>SUM(AB801:AB801)</f>
        <v>49000</v>
      </c>
      <c r="AC799" s="187">
        <f>X799+Y799+AB799-N799</f>
        <v>49000</v>
      </c>
      <c r="AD799" s="187">
        <f>SUM(AD801:AD801)</f>
        <v>0</v>
      </c>
      <c r="AE799" s="187">
        <f>SUM(AE801:AE801)</f>
        <v>0</v>
      </c>
      <c r="AF799" s="187">
        <f>SUM(AF801:AF801)</f>
        <v>0</v>
      </c>
      <c r="AG799" s="187">
        <f>SUM(AG801:AG801)</f>
        <v>0</v>
      </c>
      <c r="AH799" s="187">
        <f>SUM(AH801:AH801)</f>
        <v>0</v>
      </c>
      <c r="AI799" s="228"/>
      <c r="AJ799" s="187"/>
      <c r="AK799" s="185"/>
      <c r="AL799" s="185"/>
      <c r="AM799" s="185"/>
    </row>
    <row r="800" spans="1:39" s="223" customFormat="1">
      <c r="A800" s="193" t="s">
        <v>896</v>
      </c>
      <c r="B800" s="224"/>
      <c r="C800" s="224"/>
      <c r="D800" s="224"/>
      <c r="E800" s="225" t="s">
        <v>1225</v>
      </c>
      <c r="F800" s="225"/>
      <c r="G800" s="183" t="s">
        <v>143</v>
      </c>
      <c r="H800" s="183"/>
      <c r="I800" s="183"/>
      <c r="J800" s="190" t="s">
        <v>142</v>
      </c>
      <c r="K800" s="185"/>
      <c r="L800" s="290"/>
      <c r="M800" s="291"/>
      <c r="N800" s="297"/>
      <c r="O800" s="297"/>
      <c r="P800" s="297"/>
      <c r="Q800" s="297"/>
      <c r="R800" s="187">
        <f t="shared" si="133"/>
        <v>0</v>
      </c>
      <c r="S800" s="199"/>
      <c r="T800" s="199"/>
      <c r="U800" s="199"/>
      <c r="V800" s="200"/>
      <c r="W800" s="199"/>
      <c r="X800" s="199"/>
      <c r="Y800" s="199"/>
      <c r="Z800" s="199"/>
      <c r="AA800" s="199"/>
      <c r="AB800" s="199"/>
      <c r="AC800" s="199"/>
      <c r="AD800" s="199"/>
      <c r="AE800" s="199"/>
      <c r="AF800" s="199"/>
      <c r="AG800" s="199"/>
      <c r="AH800" s="199"/>
      <c r="AI800" s="227"/>
      <c r="AJ800" s="199"/>
      <c r="AK800" s="185"/>
      <c r="AL800" s="197"/>
      <c r="AM800" s="197"/>
    </row>
    <row r="801" spans="1:39" s="28" customFormat="1" ht="33">
      <c r="A801" s="34" t="s">
        <v>896</v>
      </c>
      <c r="B801" s="35"/>
      <c r="C801" s="35"/>
      <c r="D801" s="35"/>
      <c r="E801" s="37" t="s">
        <v>1230</v>
      </c>
      <c r="F801" s="37"/>
      <c r="G801" s="80" t="s">
        <v>253</v>
      </c>
      <c r="H801" s="80" t="s">
        <v>15</v>
      </c>
      <c r="I801" s="80" t="s">
        <v>16</v>
      </c>
      <c r="J801" s="81" t="s">
        <v>1179</v>
      </c>
      <c r="K801" s="82" t="s">
        <v>18</v>
      </c>
      <c r="L801" s="298">
        <f>SUM(M801:Q801)</f>
        <v>49000</v>
      </c>
      <c r="M801" s="299">
        <v>49000</v>
      </c>
      <c r="N801" s="301"/>
      <c r="O801" s="301"/>
      <c r="P801" s="301"/>
      <c r="Q801" s="301"/>
      <c r="R801" s="67"/>
      <c r="S801" s="67"/>
      <c r="T801" s="67"/>
      <c r="U801" s="67">
        <v>49000</v>
      </c>
      <c r="V801" s="9">
        <v>3</v>
      </c>
      <c r="W801" s="19" t="s">
        <v>254</v>
      </c>
      <c r="X801" s="19"/>
      <c r="Y801" s="19"/>
      <c r="Z801" s="52"/>
      <c r="AA801" s="52"/>
      <c r="AB801" s="19">
        <v>49000</v>
      </c>
      <c r="AC801" s="19"/>
      <c r="AD801" s="19"/>
      <c r="AE801" s="19"/>
      <c r="AF801" s="19"/>
      <c r="AG801" s="19"/>
      <c r="AH801" s="19"/>
      <c r="AI801" s="29"/>
      <c r="AJ801" s="78"/>
      <c r="AK801" s="78">
        <v>2021</v>
      </c>
      <c r="AL801" s="85"/>
      <c r="AM801" s="84"/>
    </row>
    <row r="802" spans="1:39" s="223" customFormat="1">
      <c r="A802" s="193" t="s">
        <v>897</v>
      </c>
      <c r="B802" s="181" t="s">
        <v>193</v>
      </c>
      <c r="C802" s="181"/>
      <c r="D802" s="181"/>
      <c r="E802" s="182" t="s">
        <v>1225</v>
      </c>
      <c r="F802" s="182"/>
      <c r="G802" s="183" t="s">
        <v>144</v>
      </c>
      <c r="H802" s="183"/>
      <c r="I802" s="183"/>
      <c r="J802" s="184" t="s">
        <v>145</v>
      </c>
      <c r="K802" s="185"/>
      <c r="L802" s="287">
        <f t="shared" ref="L802:Q802" si="134">SUM(L804:L804)</f>
        <v>1500000</v>
      </c>
      <c r="M802" s="288">
        <f t="shared" si="134"/>
        <v>1500000</v>
      </c>
      <c r="N802" s="289">
        <f t="shared" si="134"/>
        <v>0</v>
      </c>
      <c r="O802" s="289">
        <f t="shared" si="134"/>
        <v>0</v>
      </c>
      <c r="P802" s="289">
        <f t="shared" si="134"/>
        <v>0</v>
      </c>
      <c r="Q802" s="289">
        <f t="shared" si="134"/>
        <v>0</v>
      </c>
      <c r="R802" s="187">
        <f t="shared" ref="R802:R803" si="135">L802-M802-N802-O802-P802-Q802</f>
        <v>0</v>
      </c>
      <c r="S802" s="187"/>
      <c r="T802" s="187"/>
      <c r="U802" s="187">
        <f>SUM(U804:U804)</f>
        <v>1500000</v>
      </c>
      <c r="V802" s="187"/>
      <c r="W802" s="187">
        <f>SUM(W804)</f>
        <v>0</v>
      </c>
      <c r="X802" s="187">
        <f>SUM(X804)</f>
        <v>0</v>
      </c>
      <c r="Y802" s="187">
        <f>SUM(Y804)</f>
        <v>0</v>
      </c>
      <c r="Z802" s="187"/>
      <c r="AA802" s="187"/>
      <c r="AB802" s="187">
        <f>SUM(AB804:AB804)</f>
        <v>1500000</v>
      </c>
      <c r="AC802" s="187">
        <f>X802+Y802+AB802-N802</f>
        <v>1500000</v>
      </c>
      <c r="AD802" s="187">
        <f>SUM(AD804)</f>
        <v>0</v>
      </c>
      <c r="AE802" s="187">
        <f>SUM(AE804)</f>
        <v>0</v>
      </c>
      <c r="AF802" s="187">
        <f>SUM(AF804)</f>
        <v>0</v>
      </c>
      <c r="AG802" s="187">
        <f>SUM(AG804)</f>
        <v>0</v>
      </c>
      <c r="AH802" s="187">
        <f>SUM(AH804)</f>
        <v>0</v>
      </c>
      <c r="AI802" s="227"/>
      <c r="AJ802" s="187"/>
      <c r="AK802" s="185"/>
      <c r="AL802" s="196"/>
      <c r="AM802" s="197"/>
    </row>
    <row r="803" spans="1:39" s="223" customFormat="1">
      <c r="A803" s="193" t="s">
        <v>897</v>
      </c>
      <c r="B803" s="224"/>
      <c r="C803" s="224"/>
      <c r="D803" s="224"/>
      <c r="E803" s="225" t="s">
        <v>1225</v>
      </c>
      <c r="F803" s="225"/>
      <c r="G803" s="183" t="s">
        <v>146</v>
      </c>
      <c r="H803" s="183"/>
      <c r="I803" s="183"/>
      <c r="J803" s="190" t="s">
        <v>145</v>
      </c>
      <c r="K803" s="185"/>
      <c r="L803" s="290"/>
      <c r="M803" s="291"/>
      <c r="N803" s="297"/>
      <c r="O803" s="297"/>
      <c r="P803" s="297"/>
      <c r="Q803" s="297"/>
      <c r="R803" s="187">
        <f t="shared" si="135"/>
        <v>0</v>
      </c>
      <c r="S803" s="199"/>
      <c r="T803" s="199"/>
      <c r="U803" s="199"/>
      <c r="V803" s="200"/>
      <c r="W803" s="199"/>
      <c r="X803" s="199"/>
      <c r="Y803" s="199"/>
      <c r="Z803" s="199"/>
      <c r="AA803" s="199"/>
      <c r="AB803" s="199"/>
      <c r="AC803" s="199"/>
      <c r="AD803" s="199"/>
      <c r="AE803" s="199"/>
      <c r="AF803" s="199"/>
      <c r="AG803" s="199"/>
      <c r="AH803" s="199"/>
      <c r="AI803" s="227"/>
      <c r="AJ803" s="199"/>
      <c r="AK803" s="185"/>
      <c r="AL803" s="197"/>
      <c r="AM803" s="197"/>
    </row>
    <row r="804" spans="1:39" s="28" customFormat="1" ht="33">
      <c r="A804" s="34" t="s">
        <v>897</v>
      </c>
      <c r="B804" s="35"/>
      <c r="C804" s="35"/>
      <c r="D804" s="35"/>
      <c r="E804" s="120" t="s">
        <v>1469</v>
      </c>
      <c r="F804" s="37"/>
      <c r="G804" s="80">
        <v>3410160</v>
      </c>
      <c r="H804" s="80" t="s">
        <v>15</v>
      </c>
      <c r="I804" s="80" t="s">
        <v>16</v>
      </c>
      <c r="J804" s="81" t="s">
        <v>147</v>
      </c>
      <c r="K804" s="82" t="s">
        <v>18</v>
      </c>
      <c r="L804" s="298">
        <f>SUM(M804:Q804)</f>
        <v>1500000</v>
      </c>
      <c r="M804" s="299">
        <v>1500000</v>
      </c>
      <c r="N804" s="301"/>
      <c r="O804" s="301"/>
      <c r="P804" s="301"/>
      <c r="Q804" s="301"/>
      <c r="R804" s="67"/>
      <c r="S804" s="67"/>
      <c r="T804" s="67"/>
      <c r="U804" s="67">
        <f>2263800-763800</f>
        <v>1500000</v>
      </c>
      <c r="V804" s="9">
        <v>3</v>
      </c>
      <c r="W804" s="19"/>
      <c r="X804" s="19"/>
      <c r="Y804" s="19"/>
      <c r="Z804" s="52"/>
      <c r="AA804" s="52"/>
      <c r="AB804" s="19">
        <v>1500000</v>
      </c>
      <c r="AC804" s="19"/>
      <c r="AD804" s="19"/>
      <c r="AE804" s="19"/>
      <c r="AF804" s="19"/>
      <c r="AG804" s="19"/>
      <c r="AH804" s="19"/>
      <c r="AI804" s="29"/>
      <c r="AJ804" s="78"/>
      <c r="AK804" s="78">
        <v>2021</v>
      </c>
      <c r="AL804" s="84"/>
      <c r="AM804" s="84"/>
    </row>
    <row r="805" spans="1:39" s="223" customFormat="1">
      <c r="A805" s="193" t="s">
        <v>898</v>
      </c>
      <c r="B805" s="181" t="s">
        <v>193</v>
      </c>
      <c r="C805" s="181"/>
      <c r="D805" s="181"/>
      <c r="E805" s="182" t="s">
        <v>1225</v>
      </c>
      <c r="F805" s="182"/>
      <c r="G805" s="183" t="s">
        <v>148</v>
      </c>
      <c r="H805" s="183"/>
      <c r="I805" s="183"/>
      <c r="J805" s="184" t="s">
        <v>149</v>
      </c>
      <c r="K805" s="201"/>
      <c r="L805" s="287">
        <f>SUM(L807:L813)</f>
        <v>4684000</v>
      </c>
      <c r="M805" s="288">
        <f>SUM(M807:M813)</f>
        <v>4684000</v>
      </c>
      <c r="N805" s="289">
        <f>SUM(N807:N812)</f>
        <v>0</v>
      </c>
      <c r="O805" s="289">
        <f t="shared" ref="O805:P805" si="136">SUM(O807:O812)</f>
        <v>0</v>
      </c>
      <c r="P805" s="289">
        <f t="shared" si="136"/>
        <v>0</v>
      </c>
      <c r="Q805" s="289">
        <f t="shared" ref="Q805" si="137">SUM(Q807:Q812)</f>
        <v>0</v>
      </c>
      <c r="R805" s="187">
        <f t="shared" ref="R805:R806" si="138">L805-M805-N805-O805-P805-Q805</f>
        <v>0</v>
      </c>
      <c r="S805" s="187"/>
      <c r="T805" s="187"/>
      <c r="U805" s="187">
        <f>SUM(U807:U812)</f>
        <v>2484000</v>
      </c>
      <c r="V805" s="187"/>
      <c r="W805" s="187">
        <f>SUM(W807:W809)</f>
        <v>0</v>
      </c>
      <c r="X805" s="187">
        <f>SUM(X807:X809)</f>
        <v>235000</v>
      </c>
      <c r="Y805" s="187">
        <f>SUM(Y807:Y809)</f>
        <v>0</v>
      </c>
      <c r="Z805" s="187"/>
      <c r="AA805" s="187"/>
      <c r="AB805" s="187">
        <f>SUM(AB807:AB812)</f>
        <v>2249000</v>
      </c>
      <c r="AC805" s="187">
        <f>X805+Y805+AB805-N805</f>
        <v>2484000</v>
      </c>
      <c r="AD805" s="187">
        <f>SUM(AD807:AD809)</f>
        <v>0</v>
      </c>
      <c r="AE805" s="187">
        <f>SUM(AE807:AE809)</f>
        <v>0</v>
      </c>
      <c r="AF805" s="187">
        <f>SUM(AF807:AF809)</f>
        <v>0</v>
      </c>
      <c r="AG805" s="187">
        <f>SUM(AG807:AG809)</f>
        <v>0</v>
      </c>
      <c r="AH805" s="187">
        <f>SUM(AH807:AH809)</f>
        <v>0</v>
      </c>
      <c r="AI805" s="227"/>
      <c r="AJ805" s="187"/>
      <c r="AK805" s="185"/>
      <c r="AL805" s="197"/>
      <c r="AM805" s="197"/>
    </row>
    <row r="806" spans="1:39" s="223" customFormat="1">
      <c r="A806" s="193" t="s">
        <v>898</v>
      </c>
      <c r="B806" s="224"/>
      <c r="C806" s="224"/>
      <c r="D806" s="224"/>
      <c r="E806" s="225" t="s">
        <v>1225</v>
      </c>
      <c r="F806" s="225"/>
      <c r="G806" s="183" t="s">
        <v>150</v>
      </c>
      <c r="H806" s="183"/>
      <c r="I806" s="183"/>
      <c r="J806" s="190" t="s">
        <v>149</v>
      </c>
      <c r="K806" s="201"/>
      <c r="L806" s="290"/>
      <c r="M806" s="291"/>
      <c r="N806" s="297"/>
      <c r="O806" s="297"/>
      <c r="P806" s="297"/>
      <c r="Q806" s="297"/>
      <c r="R806" s="187">
        <f t="shared" si="138"/>
        <v>0</v>
      </c>
      <c r="S806" s="199"/>
      <c r="T806" s="199"/>
      <c r="U806" s="199"/>
      <c r="V806" s="200"/>
      <c r="W806" s="199"/>
      <c r="X806" s="199"/>
      <c r="Y806" s="199"/>
      <c r="Z806" s="199"/>
      <c r="AA806" s="199"/>
      <c r="AB806" s="199"/>
      <c r="AC806" s="199"/>
      <c r="AD806" s="199"/>
      <c r="AE806" s="199"/>
      <c r="AF806" s="199"/>
      <c r="AG806" s="199"/>
      <c r="AH806" s="199"/>
      <c r="AI806" s="227"/>
      <c r="AJ806" s="199"/>
      <c r="AK806" s="185"/>
      <c r="AL806" s="197"/>
      <c r="AM806" s="197"/>
    </row>
    <row r="807" spans="1:39" ht="33">
      <c r="A807" s="34" t="s">
        <v>898</v>
      </c>
      <c r="E807" s="120" t="s">
        <v>1469</v>
      </c>
      <c r="F807" s="37"/>
      <c r="G807" s="88" t="s">
        <v>151</v>
      </c>
      <c r="H807" s="88" t="s">
        <v>15</v>
      </c>
      <c r="I807" s="88" t="s">
        <v>16</v>
      </c>
      <c r="J807" s="89" t="s">
        <v>843</v>
      </c>
      <c r="K807" s="82" t="s">
        <v>18</v>
      </c>
      <c r="L807" s="298">
        <f t="shared" ref="L807:L813" si="139">SUM(M807:Q807)</f>
        <v>400000</v>
      </c>
      <c r="M807" s="299">
        <v>400000</v>
      </c>
      <c r="N807" s="301"/>
      <c r="O807" s="301"/>
      <c r="P807" s="301"/>
      <c r="Q807" s="301"/>
      <c r="R807" s="67"/>
      <c r="S807" s="67"/>
      <c r="T807" s="67"/>
      <c r="U807" s="67">
        <v>200000</v>
      </c>
      <c r="V807" s="21">
        <v>3</v>
      </c>
      <c r="W807" s="21"/>
      <c r="X807" s="19"/>
      <c r="Y807" s="19"/>
      <c r="Z807" s="52"/>
      <c r="AA807" s="52"/>
      <c r="AB807" s="19">
        <v>200000</v>
      </c>
      <c r="AC807" s="19"/>
      <c r="AD807" s="19"/>
      <c r="AE807" s="19"/>
      <c r="AF807" s="19"/>
      <c r="AG807" s="19"/>
      <c r="AH807" s="19"/>
      <c r="AI807" s="12"/>
      <c r="AJ807" s="84"/>
      <c r="AK807" s="78">
        <v>2021</v>
      </c>
      <c r="AL807" s="85"/>
      <c r="AM807" s="84"/>
    </row>
    <row r="808" spans="1:39" ht="33">
      <c r="A808" s="34" t="s">
        <v>898</v>
      </c>
      <c r="E808" s="120" t="s">
        <v>1469</v>
      </c>
      <c r="F808" s="37"/>
      <c r="G808" s="88" t="s">
        <v>152</v>
      </c>
      <c r="H808" s="88" t="s">
        <v>153</v>
      </c>
      <c r="I808" s="88" t="s">
        <v>154</v>
      </c>
      <c r="J808" s="89" t="s">
        <v>844</v>
      </c>
      <c r="K808" s="82" t="s">
        <v>934</v>
      </c>
      <c r="L808" s="298">
        <f t="shared" si="139"/>
        <v>235000</v>
      </c>
      <c r="M808" s="299">
        <v>235000</v>
      </c>
      <c r="N808" s="301"/>
      <c r="O808" s="301"/>
      <c r="P808" s="301"/>
      <c r="Q808" s="301"/>
      <c r="R808" s="67"/>
      <c r="S808" s="67"/>
      <c r="T808" s="67"/>
      <c r="U808" s="67">
        <v>235000</v>
      </c>
      <c r="V808" s="21">
        <v>1</v>
      </c>
      <c r="W808" s="21"/>
      <c r="X808" s="19">
        <v>235000</v>
      </c>
      <c r="Y808" s="19"/>
      <c r="Z808" s="52"/>
      <c r="AA808" s="52"/>
      <c r="AB808" s="19"/>
      <c r="AC808" s="19"/>
      <c r="AD808" s="19"/>
      <c r="AE808" s="19"/>
      <c r="AF808" s="19"/>
      <c r="AG808" s="19"/>
      <c r="AH808" s="19"/>
      <c r="AI808" s="12"/>
      <c r="AJ808" s="94">
        <v>100</v>
      </c>
      <c r="AK808" s="78">
        <v>2021</v>
      </c>
      <c r="AL808" s="85">
        <v>235000</v>
      </c>
      <c r="AM808" s="84"/>
    </row>
    <row r="809" spans="1:39" ht="49.5">
      <c r="A809" s="34" t="s">
        <v>898</v>
      </c>
      <c r="E809" s="120" t="s">
        <v>1469</v>
      </c>
      <c r="F809" s="37"/>
      <c r="G809" s="88" t="s">
        <v>152</v>
      </c>
      <c r="H809" s="88" t="s">
        <v>153</v>
      </c>
      <c r="I809" s="88" t="s">
        <v>154</v>
      </c>
      <c r="J809" s="89" t="s">
        <v>844</v>
      </c>
      <c r="K809" s="82" t="s">
        <v>1022</v>
      </c>
      <c r="L809" s="298">
        <f t="shared" si="139"/>
        <v>1000000</v>
      </c>
      <c r="M809" s="299">
        <v>1000000</v>
      </c>
      <c r="N809" s="301"/>
      <c r="O809" s="301"/>
      <c r="P809" s="301"/>
      <c r="Q809" s="301"/>
      <c r="R809" s="67"/>
      <c r="S809" s="67"/>
      <c r="T809" s="67"/>
      <c r="U809" s="67">
        <v>1000000</v>
      </c>
      <c r="V809" s="21">
        <v>3</v>
      </c>
      <c r="W809" s="21"/>
      <c r="X809" s="19"/>
      <c r="Y809" s="19"/>
      <c r="Z809" s="52"/>
      <c r="AA809" s="52"/>
      <c r="AB809" s="19">
        <v>1000000</v>
      </c>
      <c r="AC809" s="19"/>
      <c r="AD809" s="19"/>
      <c r="AE809" s="19"/>
      <c r="AF809" s="19"/>
      <c r="AG809" s="19"/>
      <c r="AH809" s="19"/>
      <c r="AI809" s="12"/>
      <c r="AJ809" s="94">
        <v>100</v>
      </c>
      <c r="AK809" s="78">
        <v>2021</v>
      </c>
      <c r="AL809" s="85">
        <v>1000000</v>
      </c>
      <c r="AM809" s="84"/>
    </row>
    <row r="810" spans="1:39" ht="82.5">
      <c r="A810" s="34" t="s">
        <v>898</v>
      </c>
      <c r="E810" s="120" t="s">
        <v>1469</v>
      </c>
      <c r="F810" s="37"/>
      <c r="G810" s="88" t="s">
        <v>152</v>
      </c>
      <c r="H810" s="88" t="s">
        <v>153</v>
      </c>
      <c r="I810" s="88" t="s">
        <v>154</v>
      </c>
      <c r="J810" s="89" t="s">
        <v>844</v>
      </c>
      <c r="K810" s="82" t="s">
        <v>935</v>
      </c>
      <c r="L810" s="298">
        <f t="shared" si="139"/>
        <v>500000</v>
      </c>
      <c r="M810" s="299">
        <v>500000</v>
      </c>
      <c r="N810" s="301"/>
      <c r="O810" s="301"/>
      <c r="P810" s="301"/>
      <c r="Q810" s="301"/>
      <c r="R810" s="67"/>
      <c r="S810" s="67"/>
      <c r="T810" s="67"/>
      <c r="U810" s="67">
        <v>500000</v>
      </c>
      <c r="V810" s="21">
        <v>3</v>
      </c>
      <c r="W810" s="21"/>
      <c r="X810" s="19"/>
      <c r="Y810" s="19"/>
      <c r="Z810" s="52"/>
      <c r="AA810" s="52"/>
      <c r="AB810" s="19">
        <v>500000</v>
      </c>
      <c r="AC810" s="19"/>
      <c r="AD810" s="19"/>
      <c r="AE810" s="19"/>
      <c r="AF810" s="19"/>
      <c r="AG810" s="19"/>
      <c r="AH810" s="19"/>
      <c r="AI810" s="12"/>
      <c r="AJ810" s="94">
        <v>100</v>
      </c>
      <c r="AK810" s="78">
        <v>2021</v>
      </c>
      <c r="AL810" s="85">
        <v>500000</v>
      </c>
      <c r="AM810" s="84"/>
    </row>
    <row r="811" spans="1:39" ht="82.5">
      <c r="A811" s="34" t="s">
        <v>898</v>
      </c>
      <c r="E811" s="37"/>
      <c r="F811" s="37"/>
      <c r="G811" s="80" t="s">
        <v>1397</v>
      </c>
      <c r="H811" s="80" t="s">
        <v>183</v>
      </c>
      <c r="I811" s="80" t="s">
        <v>31</v>
      </c>
      <c r="J811" s="81" t="s">
        <v>1398</v>
      </c>
      <c r="K811" s="82" t="s">
        <v>1399</v>
      </c>
      <c r="L811" s="298">
        <f t="shared" si="139"/>
        <v>2000000</v>
      </c>
      <c r="M811" s="299">
        <v>2000000</v>
      </c>
      <c r="N811" s="301"/>
      <c r="O811" s="301"/>
      <c r="P811" s="301"/>
      <c r="Q811" s="301"/>
      <c r="R811" s="67"/>
      <c r="S811" s="67"/>
      <c r="T811" s="67"/>
      <c r="U811" s="67">
        <v>49000</v>
      </c>
      <c r="V811" s="21">
        <v>3</v>
      </c>
      <c r="W811" s="21"/>
      <c r="X811" s="19"/>
      <c r="Y811" s="19"/>
      <c r="Z811" s="52"/>
      <c r="AA811" s="52"/>
      <c r="AB811" s="19">
        <v>49000</v>
      </c>
      <c r="AC811" s="19"/>
      <c r="AD811" s="19"/>
      <c r="AE811" s="19"/>
      <c r="AF811" s="19"/>
      <c r="AG811" s="19"/>
      <c r="AH811" s="19"/>
      <c r="AI811" s="12"/>
      <c r="AJ811" s="84"/>
      <c r="AK811" s="78">
        <v>2021</v>
      </c>
      <c r="AL811" s="85"/>
      <c r="AM811" s="84"/>
    </row>
    <row r="812" spans="1:39" ht="49.5">
      <c r="A812" s="34" t="s">
        <v>898</v>
      </c>
      <c r="E812" s="120" t="s">
        <v>1469</v>
      </c>
      <c r="F812" s="37"/>
      <c r="G812" s="88" t="s">
        <v>1012</v>
      </c>
      <c r="H812" s="88" t="s">
        <v>1014</v>
      </c>
      <c r="I812" s="88" t="s">
        <v>31</v>
      </c>
      <c r="J812" s="89" t="s">
        <v>1013</v>
      </c>
      <c r="K812" s="82" t="s">
        <v>155</v>
      </c>
      <c r="L812" s="298">
        <f t="shared" si="139"/>
        <v>49000</v>
      </c>
      <c r="M812" s="299">
        <v>49000</v>
      </c>
      <c r="N812" s="301"/>
      <c r="O812" s="301"/>
      <c r="P812" s="301"/>
      <c r="Q812" s="301"/>
      <c r="R812" s="67"/>
      <c r="S812" s="67"/>
      <c r="T812" s="67"/>
      <c r="U812" s="67">
        <v>500000</v>
      </c>
      <c r="V812" s="21">
        <v>3</v>
      </c>
      <c r="W812" s="21"/>
      <c r="X812" s="19"/>
      <c r="Y812" s="19"/>
      <c r="Z812" s="52"/>
      <c r="AA812" s="52"/>
      <c r="AB812" s="19">
        <v>500000</v>
      </c>
      <c r="AC812" s="19"/>
      <c r="AD812" s="19"/>
      <c r="AE812" s="19"/>
      <c r="AF812" s="19"/>
      <c r="AG812" s="19"/>
      <c r="AH812" s="19"/>
      <c r="AI812" s="12"/>
      <c r="AJ812" s="94">
        <v>100</v>
      </c>
      <c r="AK812" s="78">
        <v>2021</v>
      </c>
      <c r="AL812" s="85">
        <v>49000</v>
      </c>
      <c r="AM812" s="84"/>
    </row>
    <row r="813" spans="1:39" s="47" customFormat="1" ht="49.5">
      <c r="A813" s="72" t="s">
        <v>898</v>
      </c>
      <c r="B813" s="32"/>
      <c r="C813" s="32"/>
      <c r="D813" s="32"/>
      <c r="E813" s="120" t="s">
        <v>1469</v>
      </c>
      <c r="F813" s="37"/>
      <c r="G813" s="88" t="s">
        <v>156</v>
      </c>
      <c r="H813" s="88" t="s">
        <v>157</v>
      </c>
      <c r="I813" s="88" t="s">
        <v>31</v>
      </c>
      <c r="J813" s="89" t="s">
        <v>259</v>
      </c>
      <c r="K813" s="82" t="s">
        <v>259</v>
      </c>
      <c r="L813" s="298">
        <f t="shared" si="139"/>
        <v>500000</v>
      </c>
      <c r="M813" s="299">
        <v>500000</v>
      </c>
      <c r="N813" s="301"/>
      <c r="O813" s="301"/>
      <c r="P813" s="301"/>
      <c r="Q813" s="301"/>
      <c r="R813" s="67"/>
      <c r="S813" s="67"/>
      <c r="T813" s="67"/>
      <c r="U813" s="67"/>
      <c r="V813" s="58"/>
      <c r="W813" s="58"/>
      <c r="X813" s="67"/>
      <c r="Y813" s="67"/>
      <c r="Z813" s="67"/>
      <c r="AA813" s="67"/>
      <c r="AB813" s="67"/>
      <c r="AC813" s="67"/>
      <c r="AD813" s="67"/>
      <c r="AE813" s="67"/>
      <c r="AF813" s="67"/>
      <c r="AG813" s="67"/>
      <c r="AH813" s="67"/>
      <c r="AI813" s="57"/>
      <c r="AJ813" s="94">
        <v>100</v>
      </c>
      <c r="AK813" s="78">
        <v>2021</v>
      </c>
      <c r="AL813" s="85">
        <v>500000</v>
      </c>
      <c r="AM813" s="84"/>
    </row>
    <row r="814" spans="1:39" s="233" customFormat="1">
      <c r="A814" s="193" t="s">
        <v>899</v>
      </c>
      <c r="B814" s="181" t="s">
        <v>193</v>
      </c>
      <c r="C814" s="181"/>
      <c r="D814" s="181"/>
      <c r="E814" s="182" t="s">
        <v>1225</v>
      </c>
      <c r="F814" s="182"/>
      <c r="G814" s="183" t="s">
        <v>158</v>
      </c>
      <c r="H814" s="183"/>
      <c r="I814" s="183"/>
      <c r="J814" s="184" t="s">
        <v>159</v>
      </c>
      <c r="K814" s="230"/>
      <c r="L814" s="287">
        <f t="shared" ref="L814" si="140">SUM(L816)</f>
        <v>100000</v>
      </c>
      <c r="M814" s="288">
        <f>SUM(M816)</f>
        <v>100000</v>
      </c>
      <c r="N814" s="289">
        <f>SUM(N816)</f>
        <v>0</v>
      </c>
      <c r="O814" s="289">
        <f t="shared" ref="O814:P814" si="141">SUM(O816)</f>
        <v>0</v>
      </c>
      <c r="P814" s="289">
        <f t="shared" si="141"/>
        <v>0</v>
      </c>
      <c r="Q814" s="289">
        <f t="shared" ref="Q814" si="142">SUM(Q816)</f>
        <v>0</v>
      </c>
      <c r="R814" s="187">
        <f t="shared" ref="R814:R815" si="143">L814-M814-N814-O814-P814-Q814</f>
        <v>0</v>
      </c>
      <c r="S814" s="187"/>
      <c r="T814" s="187"/>
      <c r="U814" s="187">
        <f>SUM(U816)</f>
        <v>100000</v>
      </c>
      <c r="V814" s="187"/>
      <c r="W814" s="187">
        <f>SUM(W816)</f>
        <v>0</v>
      </c>
      <c r="X814" s="187">
        <f>SUM(X816)</f>
        <v>0</v>
      </c>
      <c r="Y814" s="187">
        <f>SUM(Y816)</f>
        <v>0</v>
      </c>
      <c r="Z814" s="187"/>
      <c r="AA814" s="187"/>
      <c r="AB814" s="187">
        <f>SUM(AB816)</f>
        <v>100000</v>
      </c>
      <c r="AC814" s="187">
        <f>X814+Y814+AB814-N814</f>
        <v>100000</v>
      </c>
      <c r="AD814" s="187">
        <f>SUM(AD816)</f>
        <v>0</v>
      </c>
      <c r="AE814" s="187">
        <f>SUM(AE816)</f>
        <v>0</v>
      </c>
      <c r="AF814" s="187">
        <f>SUM(AF816)</f>
        <v>0</v>
      </c>
      <c r="AG814" s="187">
        <f>SUM(AG816)</f>
        <v>0</v>
      </c>
      <c r="AH814" s="187">
        <f>SUM(AH816)</f>
        <v>0</v>
      </c>
      <c r="AI814" s="231"/>
      <c r="AJ814" s="187"/>
      <c r="AK814" s="232"/>
      <c r="AL814" s="232"/>
      <c r="AM814" s="232"/>
    </row>
    <row r="815" spans="1:39" s="233" customFormat="1">
      <c r="A815" s="193" t="s">
        <v>899</v>
      </c>
      <c r="B815" s="234"/>
      <c r="C815" s="234"/>
      <c r="D815" s="234"/>
      <c r="E815" s="225" t="s">
        <v>1225</v>
      </c>
      <c r="F815" s="225"/>
      <c r="G815" s="183" t="s">
        <v>160</v>
      </c>
      <c r="H815" s="183"/>
      <c r="I815" s="183"/>
      <c r="J815" s="190" t="s">
        <v>159</v>
      </c>
      <c r="K815" s="230"/>
      <c r="L815" s="331"/>
      <c r="M815" s="332"/>
      <c r="N815" s="333"/>
      <c r="O815" s="333"/>
      <c r="P815" s="333"/>
      <c r="Q815" s="333"/>
      <c r="R815" s="187">
        <f t="shared" si="143"/>
        <v>0</v>
      </c>
      <c r="S815" s="235"/>
      <c r="T815" s="235"/>
      <c r="U815" s="235"/>
      <c r="V815" s="236"/>
      <c r="W815" s="235"/>
      <c r="X815" s="235"/>
      <c r="Y815" s="235"/>
      <c r="Z815" s="235"/>
      <c r="AA815" s="235"/>
      <c r="AB815" s="235"/>
      <c r="AC815" s="235"/>
      <c r="AD815" s="235"/>
      <c r="AE815" s="235"/>
      <c r="AF815" s="235"/>
      <c r="AG815" s="235"/>
      <c r="AH815" s="235"/>
      <c r="AI815" s="231"/>
      <c r="AJ815" s="235"/>
      <c r="AK815" s="232"/>
      <c r="AL815" s="232"/>
      <c r="AM815" s="232"/>
    </row>
    <row r="816" spans="1:39" ht="49.5">
      <c r="A816" s="34" t="s">
        <v>899</v>
      </c>
      <c r="E816" s="120" t="s">
        <v>1469</v>
      </c>
      <c r="F816" s="37"/>
      <c r="G816" s="80">
        <v>3710160</v>
      </c>
      <c r="H816" s="80" t="s">
        <v>15</v>
      </c>
      <c r="I816" s="80" t="s">
        <v>16</v>
      </c>
      <c r="J816" s="81" t="s">
        <v>161</v>
      </c>
      <c r="K816" s="82" t="s">
        <v>18</v>
      </c>
      <c r="L816" s="180">
        <f>SUM(M816:Q816)</f>
        <v>100000</v>
      </c>
      <c r="M816" s="325">
        <v>100000</v>
      </c>
      <c r="N816" s="334"/>
      <c r="O816" s="301"/>
      <c r="P816" s="301"/>
      <c r="Q816" s="301"/>
      <c r="R816" s="67"/>
      <c r="S816" s="67"/>
      <c r="T816" s="67"/>
      <c r="U816" s="67">
        <v>100000</v>
      </c>
      <c r="V816" s="9">
        <v>3</v>
      </c>
      <c r="W816" s="19"/>
      <c r="X816" s="19"/>
      <c r="Y816" s="19"/>
      <c r="Z816" s="52"/>
      <c r="AA816" s="52"/>
      <c r="AB816" s="19">
        <v>100000</v>
      </c>
      <c r="AC816" s="19"/>
      <c r="AD816" s="19"/>
      <c r="AE816" s="19"/>
      <c r="AF816" s="19"/>
      <c r="AG816" s="19"/>
      <c r="AH816" s="19"/>
      <c r="AI816" s="12"/>
      <c r="AJ816" s="96"/>
      <c r="AK816" s="90">
        <v>2021</v>
      </c>
      <c r="AL816" s="96"/>
      <c r="AM816" s="96"/>
    </row>
    <row r="817" spans="1:39" s="233" customFormat="1">
      <c r="A817" s="193" t="s">
        <v>900</v>
      </c>
      <c r="B817" s="181" t="s">
        <v>193</v>
      </c>
      <c r="C817" s="181"/>
      <c r="D817" s="181"/>
      <c r="E817" s="182" t="s">
        <v>1225</v>
      </c>
      <c r="F817" s="182"/>
      <c r="G817" s="183" t="s">
        <v>158</v>
      </c>
      <c r="H817" s="183"/>
      <c r="I817" s="183"/>
      <c r="J817" s="184" t="s">
        <v>162</v>
      </c>
      <c r="K817" s="230"/>
      <c r="L817" s="287">
        <f t="shared" ref="L817" si="144">SUM(L819:L819)</f>
        <v>100000</v>
      </c>
      <c r="M817" s="288">
        <f>SUM(M819:M819)</f>
        <v>100000</v>
      </c>
      <c r="N817" s="289">
        <f>SUM(N819:N819)</f>
        <v>0</v>
      </c>
      <c r="O817" s="289">
        <f t="shared" ref="O817:P817" si="145">SUM(O819:O819)</f>
        <v>0</v>
      </c>
      <c r="P817" s="289">
        <f t="shared" si="145"/>
        <v>0</v>
      </c>
      <c r="Q817" s="289">
        <f t="shared" ref="Q817" si="146">SUM(Q819:Q819)</f>
        <v>0</v>
      </c>
      <c r="R817" s="187">
        <f t="shared" ref="R817:R818" si="147">L817-M817-N817-O817-P817-Q817</f>
        <v>0</v>
      </c>
      <c r="S817" s="187"/>
      <c r="T817" s="187"/>
      <c r="U817" s="187">
        <f>SUM(U819:U819)</f>
        <v>100000</v>
      </c>
      <c r="V817" s="187"/>
      <c r="W817" s="187">
        <f>SUM(W819:W819)</f>
        <v>0</v>
      </c>
      <c r="X817" s="187">
        <f>SUM(X819:X819)</f>
        <v>0</v>
      </c>
      <c r="Y817" s="187">
        <f>SUM(Y819:Y819)</f>
        <v>0</v>
      </c>
      <c r="Z817" s="187"/>
      <c r="AA817" s="187"/>
      <c r="AB817" s="187">
        <f>SUM(AB819:AB819)</f>
        <v>100000</v>
      </c>
      <c r="AC817" s="187">
        <f>X817+Y817+AB817-N817</f>
        <v>100000</v>
      </c>
      <c r="AD817" s="187">
        <f>SUM(AD819:AD819)</f>
        <v>0</v>
      </c>
      <c r="AE817" s="187">
        <f>SUM(AE819:AE819)</f>
        <v>0</v>
      </c>
      <c r="AF817" s="187">
        <f>SUM(AF819:AF819)</f>
        <v>0</v>
      </c>
      <c r="AG817" s="187">
        <f>SUM(AG819:AG819)</f>
        <v>0</v>
      </c>
      <c r="AH817" s="187">
        <f>SUM(AH819:AH819)</f>
        <v>0</v>
      </c>
      <c r="AI817" s="231"/>
      <c r="AJ817" s="187"/>
      <c r="AK817" s="232"/>
      <c r="AL817" s="232"/>
      <c r="AM817" s="232"/>
    </row>
    <row r="818" spans="1:39" s="233" customFormat="1">
      <c r="A818" s="193" t="s">
        <v>900</v>
      </c>
      <c r="B818" s="234"/>
      <c r="C818" s="234"/>
      <c r="D818" s="234"/>
      <c r="E818" s="225" t="s">
        <v>1225</v>
      </c>
      <c r="F818" s="225"/>
      <c r="G818" s="183" t="s">
        <v>160</v>
      </c>
      <c r="H818" s="183"/>
      <c r="I818" s="183"/>
      <c r="J818" s="190" t="s">
        <v>162</v>
      </c>
      <c r="K818" s="230"/>
      <c r="L818" s="290"/>
      <c r="M818" s="291"/>
      <c r="N818" s="297"/>
      <c r="O818" s="297"/>
      <c r="P818" s="297"/>
      <c r="Q818" s="297"/>
      <c r="R818" s="187">
        <f t="shared" si="147"/>
        <v>0</v>
      </c>
      <c r="S818" s="199"/>
      <c r="T818" s="199"/>
      <c r="U818" s="199"/>
      <c r="V818" s="200"/>
      <c r="W818" s="199"/>
      <c r="X818" s="199"/>
      <c r="Y818" s="199"/>
      <c r="Z818" s="199"/>
      <c r="AA818" s="199"/>
      <c r="AB818" s="199"/>
      <c r="AC818" s="199"/>
      <c r="AD818" s="199"/>
      <c r="AE818" s="199"/>
      <c r="AF818" s="199"/>
      <c r="AG818" s="199"/>
      <c r="AH818" s="199"/>
      <c r="AI818" s="231"/>
      <c r="AJ818" s="199"/>
      <c r="AK818" s="232"/>
      <c r="AL818" s="232"/>
      <c r="AM818" s="232"/>
    </row>
    <row r="819" spans="1:39" ht="33">
      <c r="A819" s="34" t="s">
        <v>900</v>
      </c>
      <c r="E819" s="120" t="s">
        <v>1469</v>
      </c>
      <c r="F819" s="37"/>
      <c r="G819" s="80">
        <v>3710160</v>
      </c>
      <c r="H819" s="80" t="s">
        <v>15</v>
      </c>
      <c r="I819" s="80" t="s">
        <v>16</v>
      </c>
      <c r="J819" s="81" t="s">
        <v>163</v>
      </c>
      <c r="K819" s="86" t="s">
        <v>40</v>
      </c>
      <c r="L819" s="298">
        <f>SUM(M819:Q819)</f>
        <v>100000</v>
      </c>
      <c r="M819" s="299">
        <v>100000</v>
      </c>
      <c r="N819" s="301"/>
      <c r="O819" s="301"/>
      <c r="P819" s="301"/>
      <c r="Q819" s="301"/>
      <c r="R819" s="67"/>
      <c r="S819" s="67"/>
      <c r="T819" s="67"/>
      <c r="U819" s="67">
        <v>100000</v>
      </c>
      <c r="V819" s="9">
        <v>3</v>
      </c>
      <c r="W819" s="19"/>
      <c r="X819" s="19"/>
      <c r="Y819" s="19"/>
      <c r="Z819" s="52"/>
      <c r="AA819" s="52"/>
      <c r="AB819" s="19">
        <v>100000</v>
      </c>
      <c r="AC819" s="19"/>
      <c r="AD819" s="19"/>
      <c r="AE819" s="19"/>
      <c r="AF819" s="19"/>
      <c r="AG819" s="19"/>
      <c r="AH819" s="19"/>
      <c r="AI819" s="12"/>
      <c r="AJ819" s="96"/>
      <c r="AK819" s="90">
        <v>2021</v>
      </c>
      <c r="AL819" s="96"/>
      <c r="AM819" s="96"/>
    </row>
    <row r="820" spans="1:39" s="233" customFormat="1">
      <c r="A820" s="193" t="s">
        <v>901</v>
      </c>
      <c r="B820" s="181" t="s">
        <v>193</v>
      </c>
      <c r="C820" s="181"/>
      <c r="D820" s="181"/>
      <c r="E820" s="182" t="s">
        <v>1225</v>
      </c>
      <c r="F820" s="182"/>
      <c r="G820" s="183" t="s">
        <v>164</v>
      </c>
      <c r="H820" s="183"/>
      <c r="I820" s="183"/>
      <c r="J820" s="184" t="s">
        <v>165</v>
      </c>
      <c r="K820" s="201"/>
      <c r="L820" s="287">
        <f t="shared" ref="L820" si="148">SUM(L822:L834)</f>
        <v>33000000</v>
      </c>
      <c r="M820" s="288">
        <f>SUM(M822:M834)</f>
        <v>0</v>
      </c>
      <c r="N820" s="289">
        <f>SUM(N822:N834)</f>
        <v>33000000</v>
      </c>
      <c r="O820" s="289">
        <f t="shared" ref="O820:P820" si="149">SUM(O822:O834)</f>
        <v>0</v>
      </c>
      <c r="P820" s="289">
        <f t="shared" si="149"/>
        <v>0</v>
      </c>
      <c r="Q820" s="289">
        <f t="shared" ref="Q820" si="150">SUM(Q822:Q834)</f>
        <v>0</v>
      </c>
      <c r="R820" s="187">
        <f t="shared" ref="R820:R821" si="151">L820-M820-N820-O820-P820-Q820</f>
        <v>0</v>
      </c>
      <c r="S820" s="187"/>
      <c r="T820" s="187"/>
      <c r="U820" s="187">
        <f>SUM(U822:U834)</f>
        <v>33000000</v>
      </c>
      <c r="V820" s="187"/>
      <c r="W820" s="187">
        <f>SUM(W822:W834)</f>
        <v>0</v>
      </c>
      <c r="X820" s="187">
        <f>SUM(X822:X834)</f>
        <v>845204</v>
      </c>
      <c r="Y820" s="187">
        <f>SUM(Y822:Y834)</f>
        <v>1224996</v>
      </c>
      <c r="Z820" s="187"/>
      <c r="AA820" s="187"/>
      <c r="AB820" s="187">
        <f>SUM(AB822:AB834)</f>
        <v>28229801</v>
      </c>
      <c r="AC820" s="187">
        <f>X820+Y820+AB820-N820</f>
        <v>-2699999</v>
      </c>
      <c r="AD820" s="187">
        <f>SUM(AD823:AD834)</f>
        <v>0</v>
      </c>
      <c r="AE820" s="187">
        <f>SUM(AE823:AE834)</f>
        <v>0</v>
      </c>
      <c r="AF820" s="187">
        <f>SUM(AF823:AF834)</f>
        <v>0</v>
      </c>
      <c r="AG820" s="187">
        <f>SUM(AG823:AG834)</f>
        <v>0</v>
      </c>
      <c r="AH820" s="187">
        <f>SUM(AH823:AH834)</f>
        <v>0</v>
      </c>
      <c r="AI820" s="231"/>
      <c r="AJ820" s="187"/>
      <c r="AK820" s="237"/>
      <c r="AL820" s="232"/>
      <c r="AM820" s="237"/>
    </row>
    <row r="821" spans="1:39" s="233" customFormat="1">
      <c r="A821" s="193" t="s">
        <v>901</v>
      </c>
      <c r="B821" s="234"/>
      <c r="C821" s="234"/>
      <c r="D821" s="234"/>
      <c r="E821" s="225" t="s">
        <v>1225</v>
      </c>
      <c r="F821" s="225"/>
      <c r="G821" s="183" t="s">
        <v>166</v>
      </c>
      <c r="H821" s="183"/>
      <c r="I821" s="183"/>
      <c r="J821" s="190" t="s">
        <v>165</v>
      </c>
      <c r="K821" s="201"/>
      <c r="L821" s="290"/>
      <c r="M821" s="291"/>
      <c r="N821" s="297"/>
      <c r="O821" s="297"/>
      <c r="P821" s="297"/>
      <c r="Q821" s="297"/>
      <c r="R821" s="187">
        <f t="shared" si="151"/>
        <v>0</v>
      </c>
      <c r="S821" s="199"/>
      <c r="T821" s="199"/>
      <c r="U821" s="199"/>
      <c r="V821" s="200"/>
      <c r="W821" s="199"/>
      <c r="X821" s="199"/>
      <c r="Y821" s="199"/>
      <c r="Z821" s="199"/>
      <c r="AA821" s="199"/>
      <c r="AB821" s="199"/>
      <c r="AC821" s="199"/>
      <c r="AD821" s="199"/>
      <c r="AE821" s="199"/>
      <c r="AF821" s="199"/>
      <c r="AG821" s="199"/>
      <c r="AH821" s="199"/>
      <c r="AI821" s="231"/>
      <c r="AJ821" s="199"/>
      <c r="AK821" s="237"/>
      <c r="AL821" s="232"/>
      <c r="AM821" s="237"/>
    </row>
    <row r="822" spans="1:39" ht="49.5">
      <c r="A822" s="34" t="s">
        <v>901</v>
      </c>
      <c r="E822" s="37" t="s">
        <v>901</v>
      </c>
      <c r="F822" s="37"/>
      <c r="G822" s="80" t="s">
        <v>337</v>
      </c>
      <c r="H822" s="80" t="s">
        <v>15</v>
      </c>
      <c r="I822" s="80" t="s">
        <v>16</v>
      </c>
      <c r="J822" s="81" t="s">
        <v>338</v>
      </c>
      <c r="K822" s="86" t="s">
        <v>18</v>
      </c>
      <c r="L822" s="293">
        <f t="shared" ref="L822:L834" si="152">SUM(M822:Q822)</f>
        <v>1000000</v>
      </c>
      <c r="M822" s="294"/>
      <c r="N822" s="302">
        <v>1000000</v>
      </c>
      <c r="O822" s="296"/>
      <c r="P822" s="296"/>
      <c r="Q822" s="296"/>
      <c r="R822" s="84"/>
      <c r="S822" s="68"/>
      <c r="T822" s="68"/>
      <c r="U822" s="68">
        <v>1000000</v>
      </c>
      <c r="V822" s="10">
        <v>3</v>
      </c>
      <c r="W822" s="2"/>
      <c r="X822" s="2"/>
      <c r="Y822" s="2"/>
      <c r="Z822" s="2"/>
      <c r="AA822" s="2"/>
      <c r="AB822" s="2">
        <v>1000000</v>
      </c>
      <c r="AC822" s="2"/>
      <c r="AD822" s="2"/>
      <c r="AE822" s="2"/>
      <c r="AF822" s="2"/>
      <c r="AG822" s="2"/>
      <c r="AH822" s="2"/>
      <c r="AI822" s="12"/>
      <c r="AJ822" s="84"/>
      <c r="AK822" s="90">
        <v>2021</v>
      </c>
      <c r="AL822" s="90"/>
      <c r="AM822" s="98"/>
    </row>
    <row r="823" spans="1:39" ht="33">
      <c r="A823" s="34" t="s">
        <v>901</v>
      </c>
      <c r="E823" s="37" t="s">
        <v>901</v>
      </c>
      <c r="F823" s="37"/>
      <c r="G823" s="80" t="s">
        <v>334</v>
      </c>
      <c r="H823" s="80" t="s">
        <v>224</v>
      </c>
      <c r="I823" s="80" t="s">
        <v>225</v>
      </c>
      <c r="J823" s="81" t="s">
        <v>226</v>
      </c>
      <c r="K823" s="86" t="s">
        <v>18</v>
      </c>
      <c r="L823" s="293">
        <f t="shared" si="152"/>
        <v>624000</v>
      </c>
      <c r="M823" s="294"/>
      <c r="N823" s="302">
        <v>624000</v>
      </c>
      <c r="O823" s="296"/>
      <c r="P823" s="296"/>
      <c r="Q823" s="296"/>
      <c r="R823" s="84"/>
      <c r="S823" s="68"/>
      <c r="T823" s="68"/>
      <c r="U823" s="68">
        <v>624000</v>
      </c>
      <c r="V823" s="8">
        <v>1</v>
      </c>
      <c r="W823" s="2"/>
      <c r="X823" s="2">
        <v>624000</v>
      </c>
      <c r="Y823" s="2"/>
      <c r="Z823" s="2"/>
      <c r="AA823" s="2"/>
      <c r="AB823" s="2"/>
      <c r="AC823" s="2"/>
      <c r="AD823" s="2"/>
      <c r="AE823" s="2"/>
      <c r="AF823" s="2"/>
      <c r="AG823" s="2"/>
      <c r="AH823" s="2"/>
      <c r="AI823" s="12"/>
      <c r="AJ823" s="84">
        <v>100</v>
      </c>
      <c r="AK823" s="90" t="s">
        <v>271</v>
      </c>
      <c r="AL823" s="85"/>
      <c r="AM823" s="84">
        <v>100</v>
      </c>
    </row>
    <row r="824" spans="1:39">
      <c r="A824" s="34" t="s">
        <v>901</v>
      </c>
      <c r="E824" s="37" t="s">
        <v>901</v>
      </c>
      <c r="F824" s="37"/>
      <c r="G824" s="80" t="s">
        <v>334</v>
      </c>
      <c r="H824" s="80" t="s">
        <v>224</v>
      </c>
      <c r="I824" s="80" t="s">
        <v>225</v>
      </c>
      <c r="J824" s="81" t="s">
        <v>226</v>
      </c>
      <c r="K824" s="86" t="s">
        <v>341</v>
      </c>
      <c r="L824" s="293">
        <f t="shared" si="152"/>
        <v>450000</v>
      </c>
      <c r="M824" s="294"/>
      <c r="N824" s="302">
        <v>450000</v>
      </c>
      <c r="O824" s="296"/>
      <c r="P824" s="296"/>
      <c r="Q824" s="296"/>
      <c r="R824" s="84"/>
      <c r="S824" s="68"/>
      <c r="T824" s="68"/>
      <c r="U824" s="68">
        <v>450000</v>
      </c>
      <c r="V824" s="8">
        <v>3</v>
      </c>
      <c r="W824" s="2"/>
      <c r="X824" s="2"/>
      <c r="Y824" s="2"/>
      <c r="Z824" s="2"/>
      <c r="AA824" s="2"/>
      <c r="AB824" s="2">
        <v>450000</v>
      </c>
      <c r="AC824" s="2"/>
      <c r="AD824" s="2"/>
      <c r="AE824" s="2"/>
      <c r="AF824" s="2"/>
      <c r="AG824" s="2"/>
      <c r="AH824" s="2"/>
      <c r="AI824" s="12"/>
      <c r="AJ824" s="84">
        <v>100</v>
      </c>
      <c r="AK824" s="90">
        <v>2021</v>
      </c>
      <c r="AL824" s="85"/>
      <c r="AM824" s="84"/>
    </row>
    <row r="825" spans="1:39">
      <c r="A825" s="34" t="s">
        <v>901</v>
      </c>
      <c r="E825" s="37" t="s">
        <v>901</v>
      </c>
      <c r="F825" s="37"/>
      <c r="G825" s="80" t="s">
        <v>334</v>
      </c>
      <c r="H825" s="80" t="s">
        <v>224</v>
      </c>
      <c r="I825" s="80" t="s">
        <v>225</v>
      </c>
      <c r="J825" s="81" t="s">
        <v>226</v>
      </c>
      <c r="K825" s="86" t="s">
        <v>953</v>
      </c>
      <c r="L825" s="293">
        <f t="shared" si="152"/>
        <v>1400000</v>
      </c>
      <c r="M825" s="294"/>
      <c r="N825" s="302">
        <v>1400000</v>
      </c>
      <c r="O825" s="296"/>
      <c r="P825" s="296"/>
      <c r="Q825" s="296"/>
      <c r="R825" s="84"/>
      <c r="S825" s="41"/>
      <c r="T825" s="41"/>
      <c r="U825" s="41">
        <v>1400000</v>
      </c>
      <c r="V825" s="8">
        <v>3</v>
      </c>
      <c r="W825" s="2"/>
      <c r="X825" s="2"/>
      <c r="Y825" s="2"/>
      <c r="Z825" s="2">
        <v>1000000</v>
      </c>
      <c r="AA825" s="2"/>
      <c r="AB825" s="2">
        <v>400000</v>
      </c>
      <c r="AC825" s="2"/>
      <c r="AD825" s="2"/>
      <c r="AE825" s="2"/>
      <c r="AF825" s="2"/>
      <c r="AG825" s="2"/>
      <c r="AH825" s="2"/>
      <c r="AI825" s="12"/>
      <c r="AJ825" s="84">
        <v>100</v>
      </c>
      <c r="AK825" s="90">
        <v>2021</v>
      </c>
      <c r="AL825" s="85"/>
      <c r="AM825" s="84"/>
    </row>
    <row r="826" spans="1:39" ht="33">
      <c r="A826" s="34" t="s">
        <v>901</v>
      </c>
      <c r="E826" s="37" t="s">
        <v>901</v>
      </c>
      <c r="F826" s="37"/>
      <c r="G826" s="80">
        <v>4117310</v>
      </c>
      <c r="H826" s="80" t="s">
        <v>188</v>
      </c>
      <c r="I826" s="80" t="s">
        <v>108</v>
      </c>
      <c r="J826" s="81" t="s">
        <v>186</v>
      </c>
      <c r="K826" s="86" t="s">
        <v>335</v>
      </c>
      <c r="L826" s="293">
        <f t="shared" si="152"/>
        <v>6000000</v>
      </c>
      <c r="M826" s="294"/>
      <c r="N826" s="302">
        <v>6000000</v>
      </c>
      <c r="O826" s="296"/>
      <c r="P826" s="296"/>
      <c r="Q826" s="296"/>
      <c r="R826" s="84"/>
      <c r="S826" s="68"/>
      <c r="T826" s="68"/>
      <c r="U826" s="68">
        <v>6000000</v>
      </c>
      <c r="V826" s="8">
        <v>3</v>
      </c>
      <c r="W826" s="2"/>
      <c r="X826" s="2"/>
      <c r="Y826" s="2"/>
      <c r="Z826" s="2"/>
      <c r="AA826" s="2"/>
      <c r="AB826" s="2">
        <v>6000000</v>
      </c>
      <c r="AC826" s="2"/>
      <c r="AD826" s="2"/>
      <c r="AE826" s="2"/>
      <c r="AF826" s="2"/>
      <c r="AG826" s="2"/>
      <c r="AH826" s="2"/>
      <c r="AI826" s="12"/>
      <c r="AJ826" s="84">
        <v>100</v>
      </c>
      <c r="AK826" s="90">
        <v>2021</v>
      </c>
      <c r="AL826" s="85">
        <v>6000000</v>
      </c>
      <c r="AM826" s="84"/>
    </row>
    <row r="827" spans="1:39" ht="33">
      <c r="A827" s="34" t="s">
        <v>901</v>
      </c>
      <c r="E827" s="37" t="s">
        <v>901</v>
      </c>
      <c r="F827" s="37"/>
      <c r="G827" s="80" t="s">
        <v>336</v>
      </c>
      <c r="H827" s="80" t="s">
        <v>188</v>
      </c>
      <c r="I827" s="80" t="s">
        <v>108</v>
      </c>
      <c r="J827" s="81" t="s">
        <v>186</v>
      </c>
      <c r="K827" s="86" t="s">
        <v>345</v>
      </c>
      <c r="L827" s="293">
        <f t="shared" si="152"/>
        <v>480738</v>
      </c>
      <c r="M827" s="294"/>
      <c r="N827" s="302">
        <v>480738</v>
      </c>
      <c r="O827" s="296"/>
      <c r="P827" s="296"/>
      <c r="Q827" s="296"/>
      <c r="R827" s="84"/>
      <c r="S827" s="68"/>
      <c r="T827" s="68"/>
      <c r="U827" s="68">
        <v>480738</v>
      </c>
      <c r="V827" s="8">
        <v>2</v>
      </c>
      <c r="W827" s="2"/>
      <c r="X827" s="2"/>
      <c r="Y827" s="2">
        <v>480737.9</v>
      </c>
      <c r="Z827" s="2"/>
      <c r="AA827" s="2"/>
      <c r="AB827" s="2"/>
      <c r="AC827" s="2"/>
      <c r="AD827" s="2"/>
      <c r="AE827" s="2"/>
      <c r="AF827" s="2"/>
      <c r="AG827" s="2"/>
      <c r="AH827" s="2"/>
      <c r="AI827" s="12"/>
      <c r="AJ827" s="84">
        <v>100</v>
      </c>
      <c r="AK827" s="90" t="s">
        <v>271</v>
      </c>
      <c r="AL827" s="85">
        <v>13783154.810000001</v>
      </c>
      <c r="AM827" s="84">
        <v>92</v>
      </c>
    </row>
    <row r="828" spans="1:39" ht="33">
      <c r="A828" s="34" t="s">
        <v>901</v>
      </c>
      <c r="E828" s="37" t="s">
        <v>901</v>
      </c>
      <c r="F828" s="37"/>
      <c r="G828" s="80" t="s">
        <v>336</v>
      </c>
      <c r="H828" s="80" t="s">
        <v>188</v>
      </c>
      <c r="I828" s="80" t="s">
        <v>108</v>
      </c>
      <c r="J828" s="81" t="s">
        <v>186</v>
      </c>
      <c r="K828" s="86" t="s">
        <v>942</v>
      </c>
      <c r="L828" s="293">
        <f t="shared" si="152"/>
        <v>300000</v>
      </c>
      <c r="M828" s="294"/>
      <c r="N828" s="302">
        <v>300000</v>
      </c>
      <c r="O828" s="296"/>
      <c r="P828" s="296"/>
      <c r="Q828" s="296"/>
      <c r="R828" s="84"/>
      <c r="S828" s="68"/>
      <c r="T828" s="68"/>
      <c r="U828" s="68">
        <v>300000</v>
      </c>
      <c r="V828" s="8">
        <v>3</v>
      </c>
      <c r="W828" s="2"/>
      <c r="X828" s="2"/>
      <c r="Y828" s="2"/>
      <c r="Z828" s="2"/>
      <c r="AA828" s="2"/>
      <c r="AB828" s="2">
        <v>300000</v>
      </c>
      <c r="AC828" s="2"/>
      <c r="AD828" s="2"/>
      <c r="AE828" s="2"/>
      <c r="AF828" s="2"/>
      <c r="AG828" s="2"/>
      <c r="AH828" s="2"/>
      <c r="AI828" s="12"/>
      <c r="AJ828" s="84">
        <v>100</v>
      </c>
      <c r="AK828" s="90">
        <v>2021</v>
      </c>
      <c r="AL828" s="85">
        <v>300000</v>
      </c>
      <c r="AM828" s="84"/>
    </row>
    <row r="829" spans="1:39" ht="66">
      <c r="A829" s="34" t="s">
        <v>901</v>
      </c>
      <c r="E829" s="37" t="s">
        <v>901</v>
      </c>
      <c r="F829" s="37"/>
      <c r="G829" s="80" t="s">
        <v>336</v>
      </c>
      <c r="H829" s="80" t="s">
        <v>188</v>
      </c>
      <c r="I829" s="80" t="s">
        <v>108</v>
      </c>
      <c r="J829" s="81" t="s">
        <v>186</v>
      </c>
      <c r="K829" s="86" t="s">
        <v>1027</v>
      </c>
      <c r="L829" s="293">
        <f t="shared" si="152"/>
        <v>12236204</v>
      </c>
      <c r="M829" s="294"/>
      <c r="N829" s="302">
        <v>12236204</v>
      </c>
      <c r="O829" s="296"/>
      <c r="P829" s="296"/>
      <c r="Q829" s="296"/>
      <c r="R829" s="84"/>
      <c r="S829" s="45"/>
      <c r="T829" s="45"/>
      <c r="U829" s="45">
        <v>12236204</v>
      </c>
      <c r="V829" s="10">
        <v>1.3</v>
      </c>
      <c r="W829" s="2"/>
      <c r="X829" s="2">
        <v>43204</v>
      </c>
      <c r="Y829" s="2"/>
      <c r="Z829" s="2"/>
      <c r="AA829" s="2"/>
      <c r="AB829" s="2">
        <v>13593001</v>
      </c>
      <c r="AC829" s="2"/>
      <c r="AD829" s="2"/>
      <c r="AE829" s="2"/>
      <c r="AF829" s="2"/>
      <c r="AG829" s="2"/>
      <c r="AH829" s="2"/>
      <c r="AI829" s="12"/>
      <c r="AJ829" s="84">
        <v>100</v>
      </c>
      <c r="AK829" s="90" t="s">
        <v>271</v>
      </c>
      <c r="AL829" s="90"/>
      <c r="AM829" s="98"/>
    </row>
    <row r="830" spans="1:39" ht="33">
      <c r="A830" s="34" t="s">
        <v>901</v>
      </c>
      <c r="E830" s="37" t="s">
        <v>901</v>
      </c>
      <c r="F830" s="37"/>
      <c r="G830" s="80" t="s">
        <v>336</v>
      </c>
      <c r="H830" s="80" t="s">
        <v>188</v>
      </c>
      <c r="I830" s="80" t="s">
        <v>108</v>
      </c>
      <c r="J830" s="81" t="s">
        <v>186</v>
      </c>
      <c r="K830" s="86" t="s">
        <v>267</v>
      </c>
      <c r="L830" s="293">
        <f t="shared" si="152"/>
        <v>4464800</v>
      </c>
      <c r="M830" s="294"/>
      <c r="N830" s="302">
        <v>4464800</v>
      </c>
      <c r="O830" s="296"/>
      <c r="P830" s="296"/>
      <c r="Q830" s="296"/>
      <c r="R830" s="84"/>
      <c r="S830" s="45"/>
      <c r="T830" s="45"/>
      <c r="U830" s="45">
        <v>4464800</v>
      </c>
      <c r="V830" s="10">
        <v>1.3</v>
      </c>
      <c r="W830" s="2"/>
      <c r="X830" s="2">
        <v>178000</v>
      </c>
      <c r="Y830" s="2"/>
      <c r="Z830" s="2"/>
      <c r="AA830" s="2"/>
      <c r="AB830" s="2">
        <f>N830-X830</f>
        <v>4286800</v>
      </c>
      <c r="AC830" s="2"/>
      <c r="AD830" s="2"/>
      <c r="AE830" s="2"/>
      <c r="AF830" s="2"/>
      <c r="AG830" s="2"/>
      <c r="AH830" s="2"/>
      <c r="AI830" s="12"/>
      <c r="AJ830" s="84">
        <v>100</v>
      </c>
      <c r="AK830" s="90" t="s">
        <v>271</v>
      </c>
      <c r="AL830" s="90"/>
      <c r="AM830" s="98"/>
    </row>
    <row r="831" spans="1:39" ht="66">
      <c r="A831" s="34" t="s">
        <v>901</v>
      </c>
      <c r="E831" s="37" t="s">
        <v>901</v>
      </c>
      <c r="F831" s="37"/>
      <c r="G831" s="80" t="s">
        <v>336</v>
      </c>
      <c r="H831" s="80" t="s">
        <v>188</v>
      </c>
      <c r="I831" s="80" t="s">
        <v>108</v>
      </c>
      <c r="J831" s="81" t="s">
        <v>186</v>
      </c>
      <c r="K831" s="86" t="s">
        <v>382</v>
      </c>
      <c r="L831" s="293">
        <f t="shared" si="152"/>
        <v>1944258</v>
      </c>
      <c r="M831" s="294"/>
      <c r="N831" s="302">
        <v>1944258</v>
      </c>
      <c r="O831" s="296"/>
      <c r="P831" s="296"/>
      <c r="Q831" s="296"/>
      <c r="R831" s="84"/>
      <c r="S831" s="68"/>
      <c r="T831" s="68"/>
      <c r="U831" s="68">
        <v>1944258</v>
      </c>
      <c r="V831" s="10">
        <v>2.2999999999999998</v>
      </c>
      <c r="W831" s="2"/>
      <c r="X831" s="2"/>
      <c r="Y831" s="2">
        <v>744258.1</v>
      </c>
      <c r="Z831" s="2"/>
      <c r="AA831" s="2"/>
      <c r="AB831" s="2">
        <v>1200000</v>
      </c>
      <c r="AC831" s="2"/>
      <c r="AD831" s="2"/>
      <c r="AE831" s="2"/>
      <c r="AF831" s="2"/>
      <c r="AG831" s="2"/>
      <c r="AH831" s="2"/>
      <c r="AI831" s="12"/>
      <c r="AJ831" s="84">
        <v>100</v>
      </c>
      <c r="AK831" s="90" t="s">
        <v>272</v>
      </c>
      <c r="AL831" s="85">
        <v>2839255</v>
      </c>
      <c r="AM831" s="98"/>
    </row>
    <row r="832" spans="1:39" s="47" customFormat="1" ht="49.5">
      <c r="A832" s="34" t="s">
        <v>901</v>
      </c>
      <c r="B832" s="32"/>
      <c r="C832" s="32"/>
      <c r="D832" s="32"/>
      <c r="E832" s="37" t="s">
        <v>901</v>
      </c>
      <c r="F832" s="37"/>
      <c r="G832" s="80" t="s">
        <v>336</v>
      </c>
      <c r="H832" s="80" t="s">
        <v>188</v>
      </c>
      <c r="I832" s="80" t="s">
        <v>108</v>
      </c>
      <c r="J832" s="81" t="s">
        <v>186</v>
      </c>
      <c r="K832" s="86" t="s">
        <v>1028</v>
      </c>
      <c r="L832" s="293">
        <f t="shared" si="152"/>
        <v>100000</v>
      </c>
      <c r="M832" s="294"/>
      <c r="N832" s="302">
        <v>100000</v>
      </c>
      <c r="O832" s="296"/>
      <c r="P832" s="296"/>
      <c r="Q832" s="296"/>
      <c r="R832" s="84"/>
      <c r="S832" s="45"/>
      <c r="T832" s="45"/>
      <c r="U832" s="45">
        <v>100000</v>
      </c>
      <c r="V832" s="10"/>
      <c r="W832" s="2"/>
      <c r="X832" s="2"/>
      <c r="Y832" s="2"/>
      <c r="Z832" s="2"/>
      <c r="AA832" s="2"/>
      <c r="AB832" s="2"/>
      <c r="AC832" s="2"/>
      <c r="AD832" s="2"/>
      <c r="AE832" s="2"/>
      <c r="AF832" s="2"/>
      <c r="AG832" s="2"/>
      <c r="AH832" s="2"/>
      <c r="AI832" s="57"/>
      <c r="AJ832" s="84"/>
      <c r="AK832" s="90">
        <v>2021</v>
      </c>
      <c r="AL832" s="85"/>
      <c r="AM832" s="98"/>
    </row>
    <row r="833" spans="1:39" s="47" customFormat="1" ht="33">
      <c r="A833" s="34" t="s">
        <v>901</v>
      </c>
      <c r="B833" s="32"/>
      <c r="C833" s="32"/>
      <c r="D833" s="32"/>
      <c r="E833" s="37" t="s">
        <v>901</v>
      </c>
      <c r="F833" s="37"/>
      <c r="G833" s="80" t="s">
        <v>1026</v>
      </c>
      <c r="H833" s="80" t="s">
        <v>1008</v>
      </c>
      <c r="I833" s="80" t="s">
        <v>1009</v>
      </c>
      <c r="J833" s="81" t="s">
        <v>1007</v>
      </c>
      <c r="K833" s="86" t="s">
        <v>407</v>
      </c>
      <c r="L833" s="293">
        <f t="shared" si="152"/>
        <v>3000000</v>
      </c>
      <c r="M833" s="294"/>
      <c r="N833" s="302">
        <f>1000000+2000000</f>
        <v>3000000</v>
      </c>
      <c r="O833" s="296"/>
      <c r="P833" s="296"/>
      <c r="Q833" s="296"/>
      <c r="R833" s="84"/>
      <c r="S833" s="41"/>
      <c r="T833" s="41"/>
      <c r="U833" s="41">
        <f>1000000+2000000</f>
        <v>3000000</v>
      </c>
      <c r="V833" s="10"/>
      <c r="W833" s="2"/>
      <c r="X833" s="2"/>
      <c r="Y833" s="2"/>
      <c r="Z833" s="2">
        <v>2000000</v>
      </c>
      <c r="AA833" s="2"/>
      <c r="AB833" s="2"/>
      <c r="AC833" s="2"/>
      <c r="AD833" s="2"/>
      <c r="AE833" s="2"/>
      <c r="AF833" s="2"/>
      <c r="AG833" s="2"/>
      <c r="AH833" s="2"/>
      <c r="AI833" s="57"/>
      <c r="AJ833" s="84">
        <v>100</v>
      </c>
      <c r="AK833" s="90" t="s">
        <v>271</v>
      </c>
      <c r="AL833" s="85"/>
      <c r="AM833" s="98"/>
    </row>
    <row r="834" spans="1:39" ht="33">
      <c r="A834" s="34" t="s">
        <v>901</v>
      </c>
      <c r="E834" s="37" t="s">
        <v>901</v>
      </c>
      <c r="F834" s="37"/>
      <c r="G834" s="80" t="s">
        <v>339</v>
      </c>
      <c r="H834" s="80" t="s">
        <v>107</v>
      </c>
      <c r="I834" s="80" t="s">
        <v>108</v>
      </c>
      <c r="J834" s="81" t="s">
        <v>280</v>
      </c>
      <c r="K834" s="86" t="s">
        <v>340</v>
      </c>
      <c r="L834" s="293">
        <f t="shared" si="152"/>
        <v>1000000</v>
      </c>
      <c r="M834" s="294"/>
      <c r="N834" s="302">
        <v>1000000</v>
      </c>
      <c r="O834" s="296"/>
      <c r="P834" s="296"/>
      <c r="Q834" s="296"/>
      <c r="R834" s="84"/>
      <c r="S834" s="68"/>
      <c r="T834" s="68"/>
      <c r="U834" s="68">
        <v>1000000</v>
      </c>
      <c r="V834" s="10">
        <v>3</v>
      </c>
      <c r="W834" s="2"/>
      <c r="X834" s="2"/>
      <c r="Y834" s="2"/>
      <c r="Z834" s="2"/>
      <c r="AA834" s="2"/>
      <c r="AB834" s="2">
        <v>1000000</v>
      </c>
      <c r="AC834" s="2"/>
      <c r="AD834" s="2"/>
      <c r="AE834" s="2"/>
      <c r="AF834" s="2"/>
      <c r="AG834" s="2"/>
      <c r="AH834" s="2"/>
      <c r="AI834" s="12"/>
      <c r="AJ834" s="84">
        <v>100</v>
      </c>
      <c r="AK834" s="90">
        <v>2021</v>
      </c>
      <c r="AL834" s="90"/>
      <c r="AM834" s="98"/>
    </row>
    <row r="835" spans="1:39" s="233" customFormat="1">
      <c r="A835" s="193" t="s">
        <v>902</v>
      </c>
      <c r="B835" s="181" t="s">
        <v>193</v>
      </c>
      <c r="C835" s="181"/>
      <c r="D835" s="181"/>
      <c r="E835" s="182" t="s">
        <v>1225</v>
      </c>
      <c r="F835" s="182"/>
      <c r="G835" s="183" t="s">
        <v>167</v>
      </c>
      <c r="H835" s="183"/>
      <c r="I835" s="183"/>
      <c r="J835" s="184" t="s">
        <v>168</v>
      </c>
      <c r="K835" s="201"/>
      <c r="L835" s="287">
        <f t="shared" ref="L835" si="153">SUM(L837:L845)</f>
        <v>43000000</v>
      </c>
      <c r="M835" s="288">
        <f>SUM(M837:M845)</f>
        <v>10000000</v>
      </c>
      <c r="N835" s="289">
        <f>SUM(N837:N845)</f>
        <v>33000000</v>
      </c>
      <c r="O835" s="289">
        <f t="shared" ref="O835:P835" si="154">SUM(O837:O845)</f>
        <v>0</v>
      </c>
      <c r="P835" s="289">
        <f t="shared" si="154"/>
        <v>0</v>
      </c>
      <c r="Q835" s="289">
        <f t="shared" ref="Q835" si="155">SUM(Q837:Q845)</f>
        <v>0</v>
      </c>
      <c r="R835" s="187">
        <f t="shared" ref="R835:R836" si="156">L835-M835-N835-O835-P835-Q835</f>
        <v>0</v>
      </c>
      <c r="S835" s="187"/>
      <c r="T835" s="187"/>
      <c r="U835" s="187">
        <f>SUM(U837:U845)</f>
        <v>33000000</v>
      </c>
      <c r="V835" s="187"/>
      <c r="W835" s="187">
        <f>SUM(W837:W845)</f>
        <v>0</v>
      </c>
      <c r="X835" s="187">
        <f>SUM(X837:X845)</f>
        <v>2215813</v>
      </c>
      <c r="Y835" s="187">
        <f>SUM(Y837:Y845)</f>
        <v>23184187</v>
      </c>
      <c r="Z835" s="187"/>
      <c r="AA835" s="187"/>
      <c r="AB835" s="187">
        <f>SUM(AB837:AB845)</f>
        <v>6600000</v>
      </c>
      <c r="AC835" s="187">
        <f>X835+Y835+AB835-N835</f>
        <v>-1000000</v>
      </c>
      <c r="AD835" s="187">
        <f>SUM(AD837:AD845)</f>
        <v>0</v>
      </c>
      <c r="AE835" s="187">
        <f>SUM(AE837:AE845)</f>
        <v>0</v>
      </c>
      <c r="AF835" s="187">
        <f>SUM(AF837:AF845)</f>
        <v>0</v>
      </c>
      <c r="AG835" s="187">
        <f>SUM(AG837:AG845)</f>
        <v>0</v>
      </c>
      <c r="AH835" s="187">
        <f>SUM(AH837:AH845)</f>
        <v>0</v>
      </c>
      <c r="AI835" s="231"/>
      <c r="AJ835" s="187"/>
      <c r="AK835" s="238"/>
      <c r="AL835" s="238"/>
      <c r="AM835" s="237"/>
    </row>
    <row r="836" spans="1:39" s="233" customFormat="1">
      <c r="A836" s="193" t="s">
        <v>902</v>
      </c>
      <c r="B836" s="234"/>
      <c r="C836" s="234"/>
      <c r="D836" s="234"/>
      <c r="E836" s="225" t="s">
        <v>1225</v>
      </c>
      <c r="F836" s="225"/>
      <c r="G836" s="183" t="s">
        <v>169</v>
      </c>
      <c r="H836" s="183"/>
      <c r="I836" s="183"/>
      <c r="J836" s="190" t="s">
        <v>168</v>
      </c>
      <c r="K836" s="201"/>
      <c r="L836" s="290"/>
      <c r="M836" s="291"/>
      <c r="N836" s="297"/>
      <c r="O836" s="297"/>
      <c r="P836" s="297"/>
      <c r="Q836" s="297"/>
      <c r="R836" s="187">
        <f t="shared" si="156"/>
        <v>0</v>
      </c>
      <c r="S836" s="199"/>
      <c r="T836" s="199"/>
      <c r="U836" s="199"/>
      <c r="V836" s="200"/>
      <c r="W836" s="199"/>
      <c r="X836" s="199"/>
      <c r="Y836" s="199"/>
      <c r="Z836" s="199"/>
      <c r="AA836" s="199"/>
      <c r="AB836" s="199"/>
      <c r="AC836" s="199"/>
      <c r="AD836" s="199"/>
      <c r="AE836" s="199"/>
      <c r="AF836" s="199"/>
      <c r="AG836" s="199"/>
      <c r="AH836" s="199"/>
      <c r="AI836" s="231"/>
      <c r="AJ836" s="199"/>
      <c r="AK836" s="238"/>
      <c r="AL836" s="238"/>
      <c r="AM836" s="237"/>
    </row>
    <row r="837" spans="1:39" ht="49.5">
      <c r="A837" s="34" t="s">
        <v>902</v>
      </c>
      <c r="E837" s="37" t="s">
        <v>902</v>
      </c>
      <c r="F837" s="37"/>
      <c r="G837" s="88" t="s">
        <v>450</v>
      </c>
      <c r="H837" s="88" t="s">
        <v>15</v>
      </c>
      <c r="I837" s="88" t="s">
        <v>16</v>
      </c>
      <c r="J837" s="89" t="s">
        <v>338</v>
      </c>
      <c r="K837" s="89" t="s">
        <v>18</v>
      </c>
      <c r="L837" s="293">
        <f t="shared" ref="L837:L845" si="157">SUM(M837:Q837)</f>
        <v>1000000</v>
      </c>
      <c r="M837" s="294"/>
      <c r="N837" s="302">
        <v>1000000</v>
      </c>
      <c r="O837" s="286"/>
      <c r="P837" s="286"/>
      <c r="Q837" s="286"/>
      <c r="R837" s="78"/>
      <c r="S837" s="67"/>
      <c r="T837" s="67"/>
      <c r="U837" s="67">
        <v>1000000</v>
      </c>
      <c r="V837" s="21">
        <v>3</v>
      </c>
      <c r="W837" s="21"/>
      <c r="X837" s="2"/>
      <c r="Y837" s="2"/>
      <c r="Z837" s="2"/>
      <c r="AA837" s="2"/>
      <c r="AB837" s="2">
        <v>1000000</v>
      </c>
      <c r="AC837" s="2"/>
      <c r="AD837" s="2"/>
      <c r="AE837" s="2"/>
      <c r="AF837" s="2"/>
      <c r="AG837" s="2"/>
      <c r="AH837" s="2"/>
      <c r="AI837" s="12"/>
      <c r="AJ837" s="78"/>
      <c r="AK837" s="78">
        <v>2021</v>
      </c>
      <c r="AL837" s="83"/>
      <c r="AM837" s="84"/>
    </row>
    <row r="838" spans="1:39" s="47" customFormat="1">
      <c r="A838" s="34" t="s">
        <v>902</v>
      </c>
      <c r="B838" s="32"/>
      <c r="C838" s="32"/>
      <c r="D838" s="32"/>
      <c r="E838" s="37" t="s">
        <v>902</v>
      </c>
      <c r="F838" s="37"/>
      <c r="G838" s="88" t="s">
        <v>1045</v>
      </c>
      <c r="H838" s="88" t="s">
        <v>224</v>
      </c>
      <c r="I838" s="88" t="s">
        <v>225</v>
      </c>
      <c r="J838" s="89" t="s">
        <v>226</v>
      </c>
      <c r="K838" s="89" t="s">
        <v>953</v>
      </c>
      <c r="L838" s="293">
        <f t="shared" si="157"/>
        <v>1000000</v>
      </c>
      <c r="M838" s="294"/>
      <c r="N838" s="302">
        <v>1000000</v>
      </c>
      <c r="O838" s="286"/>
      <c r="P838" s="286"/>
      <c r="Q838" s="286"/>
      <c r="R838" s="78"/>
      <c r="S838" s="41"/>
      <c r="T838" s="41"/>
      <c r="U838" s="41">
        <v>1000000</v>
      </c>
      <c r="V838" s="58"/>
      <c r="W838" s="58"/>
      <c r="X838" s="2"/>
      <c r="Y838" s="2"/>
      <c r="Z838" s="41">
        <v>1000000</v>
      </c>
      <c r="AA838" s="2"/>
      <c r="AB838" s="2"/>
      <c r="AC838" s="2"/>
      <c r="AD838" s="2"/>
      <c r="AE838" s="2"/>
      <c r="AF838" s="2"/>
      <c r="AG838" s="2"/>
      <c r="AH838" s="2"/>
      <c r="AI838" s="57"/>
      <c r="AJ838" s="78"/>
      <c r="AK838" s="78">
        <v>2021</v>
      </c>
      <c r="AL838" s="83"/>
      <c r="AM838" s="84"/>
    </row>
    <row r="839" spans="1:39" ht="33">
      <c r="A839" s="34" t="s">
        <v>902</v>
      </c>
      <c r="E839" s="37" t="s">
        <v>902</v>
      </c>
      <c r="F839" s="37"/>
      <c r="G839" s="88" t="s">
        <v>229</v>
      </c>
      <c r="H839" s="88" t="s">
        <v>188</v>
      </c>
      <c r="I839" s="88" t="s">
        <v>108</v>
      </c>
      <c r="J839" s="89" t="s">
        <v>186</v>
      </c>
      <c r="K839" s="89" t="s">
        <v>267</v>
      </c>
      <c r="L839" s="293">
        <f t="shared" si="157"/>
        <v>4000000</v>
      </c>
      <c r="M839" s="294"/>
      <c r="N839" s="302">
        <v>4000000</v>
      </c>
      <c r="O839" s="286"/>
      <c r="P839" s="286"/>
      <c r="Q839" s="286"/>
      <c r="R839" s="78"/>
      <c r="S839" s="67"/>
      <c r="T839" s="67"/>
      <c r="U839" s="67">
        <v>4000000</v>
      </c>
      <c r="V839" s="21">
        <v>3</v>
      </c>
      <c r="W839" s="21"/>
      <c r="X839" s="2"/>
      <c r="Y839" s="2"/>
      <c r="Z839" s="2"/>
      <c r="AA839" s="2"/>
      <c r="AB839" s="2">
        <v>4000000</v>
      </c>
      <c r="AC839" s="2"/>
      <c r="AD839" s="2"/>
      <c r="AE839" s="2"/>
      <c r="AF839" s="2"/>
      <c r="AG839" s="2"/>
      <c r="AH839" s="2"/>
      <c r="AI839" s="12"/>
      <c r="AJ839" s="78">
        <v>100</v>
      </c>
      <c r="AK839" s="78">
        <v>2021</v>
      </c>
      <c r="AL839" s="83"/>
      <c r="AM839" s="84"/>
    </row>
    <row r="840" spans="1:39" ht="82.5">
      <c r="A840" s="34" t="s">
        <v>902</v>
      </c>
      <c r="E840" s="37" t="s">
        <v>902</v>
      </c>
      <c r="F840" s="37"/>
      <c r="G840" s="88" t="s">
        <v>229</v>
      </c>
      <c r="H840" s="88" t="s">
        <v>188</v>
      </c>
      <c r="I840" s="88" t="s">
        <v>108</v>
      </c>
      <c r="J840" s="89" t="s">
        <v>186</v>
      </c>
      <c r="K840" s="89" t="s">
        <v>846</v>
      </c>
      <c r="L840" s="293">
        <f t="shared" si="157"/>
        <v>300000</v>
      </c>
      <c r="M840" s="294"/>
      <c r="N840" s="302">
        <v>300000</v>
      </c>
      <c r="O840" s="286"/>
      <c r="P840" s="286"/>
      <c r="Q840" s="286"/>
      <c r="R840" s="78"/>
      <c r="S840" s="67"/>
      <c r="T840" s="67"/>
      <c r="U840" s="67">
        <v>300000</v>
      </c>
      <c r="V840" s="21">
        <v>3</v>
      </c>
      <c r="W840" s="21"/>
      <c r="X840" s="2"/>
      <c r="Y840" s="2"/>
      <c r="Z840" s="2"/>
      <c r="AA840" s="2"/>
      <c r="AB840" s="2">
        <v>300000</v>
      </c>
      <c r="AC840" s="2"/>
      <c r="AD840" s="2"/>
      <c r="AE840" s="2"/>
      <c r="AF840" s="2"/>
      <c r="AG840" s="2"/>
      <c r="AH840" s="2"/>
      <c r="AI840" s="12"/>
      <c r="AJ840" s="78">
        <v>100</v>
      </c>
      <c r="AK840" s="78">
        <v>2021</v>
      </c>
      <c r="AL840" s="83"/>
      <c r="AM840" s="84"/>
    </row>
    <row r="841" spans="1:39" ht="49.5">
      <c r="A841" s="34" t="s">
        <v>902</v>
      </c>
      <c r="E841" s="37" t="s">
        <v>902</v>
      </c>
      <c r="F841" s="37"/>
      <c r="G841" s="88" t="s">
        <v>229</v>
      </c>
      <c r="H841" s="88" t="s">
        <v>188</v>
      </c>
      <c r="I841" s="88" t="s">
        <v>108</v>
      </c>
      <c r="J841" s="89" t="s">
        <v>186</v>
      </c>
      <c r="K841" s="89" t="s">
        <v>449</v>
      </c>
      <c r="L841" s="293">
        <f t="shared" si="157"/>
        <v>300000</v>
      </c>
      <c r="M841" s="294"/>
      <c r="N841" s="302">
        <v>300000</v>
      </c>
      <c r="O841" s="286"/>
      <c r="P841" s="286"/>
      <c r="Q841" s="286"/>
      <c r="R841" s="78"/>
      <c r="S841" s="67"/>
      <c r="T841" s="67"/>
      <c r="U841" s="67">
        <v>300000</v>
      </c>
      <c r="V841" s="21">
        <v>3</v>
      </c>
      <c r="W841" s="21"/>
      <c r="X841" s="2"/>
      <c r="Y841" s="2"/>
      <c r="Z841" s="2"/>
      <c r="AA841" s="2"/>
      <c r="AB841" s="2">
        <v>300000</v>
      </c>
      <c r="AC841" s="2"/>
      <c r="AD841" s="2"/>
      <c r="AE841" s="2"/>
      <c r="AF841" s="2"/>
      <c r="AG841" s="2"/>
      <c r="AH841" s="2"/>
      <c r="AI841" s="12"/>
      <c r="AJ841" s="78">
        <v>100</v>
      </c>
      <c r="AK841" s="78">
        <v>2021</v>
      </c>
      <c r="AL841" s="83"/>
      <c r="AM841" s="84"/>
    </row>
    <row r="842" spans="1:39" ht="33">
      <c r="A842" s="34" t="s">
        <v>902</v>
      </c>
      <c r="E842" s="37" t="s">
        <v>902</v>
      </c>
      <c r="F842" s="37"/>
      <c r="G842" s="88" t="s">
        <v>229</v>
      </c>
      <c r="H842" s="88" t="s">
        <v>188</v>
      </c>
      <c r="I842" s="88" t="s">
        <v>108</v>
      </c>
      <c r="J842" s="89" t="s">
        <v>186</v>
      </c>
      <c r="K842" s="89" t="s">
        <v>270</v>
      </c>
      <c r="L842" s="298">
        <f t="shared" si="157"/>
        <v>1000000</v>
      </c>
      <c r="M842" s="299"/>
      <c r="N842" s="301">
        <v>1000000</v>
      </c>
      <c r="O842" s="286"/>
      <c r="P842" s="286"/>
      <c r="Q842" s="286"/>
      <c r="R842" s="78"/>
      <c r="S842" s="67"/>
      <c r="T842" s="67"/>
      <c r="U842" s="67">
        <v>1000000</v>
      </c>
      <c r="V842" s="21">
        <v>3</v>
      </c>
      <c r="W842" s="21"/>
      <c r="X842" s="2"/>
      <c r="Y842" s="2"/>
      <c r="Z842" s="2"/>
      <c r="AA842" s="2"/>
      <c r="AB842" s="19">
        <v>1000000</v>
      </c>
      <c r="AC842" s="2"/>
      <c r="AD842" s="2"/>
      <c r="AE842" s="2"/>
      <c r="AF842" s="2"/>
      <c r="AG842" s="2"/>
      <c r="AH842" s="2"/>
      <c r="AI842" s="12"/>
      <c r="AJ842" s="78">
        <v>100</v>
      </c>
      <c r="AK842" s="78">
        <v>2021</v>
      </c>
      <c r="AL842" s="83"/>
      <c r="AM842" s="84"/>
    </row>
    <row r="843" spans="1:39" ht="66">
      <c r="A843" s="34" t="s">
        <v>902</v>
      </c>
      <c r="E843" s="37" t="s">
        <v>902</v>
      </c>
      <c r="F843" s="37"/>
      <c r="G843" s="88" t="s">
        <v>229</v>
      </c>
      <c r="H843" s="88" t="s">
        <v>188</v>
      </c>
      <c r="I843" s="88" t="s">
        <v>108</v>
      </c>
      <c r="J843" s="89" t="s">
        <v>186</v>
      </c>
      <c r="K843" s="89" t="s">
        <v>943</v>
      </c>
      <c r="L843" s="298">
        <f t="shared" si="157"/>
        <v>5412263</v>
      </c>
      <c r="M843" s="299"/>
      <c r="N843" s="301">
        <f>3400000+2012263</f>
        <v>5412263</v>
      </c>
      <c r="O843" s="286"/>
      <c r="P843" s="286"/>
      <c r="Q843" s="286"/>
      <c r="R843" s="78"/>
      <c r="S843" s="67"/>
      <c r="T843" s="67"/>
      <c r="U843" s="67">
        <f>3400000+2012263</f>
        <v>5412263</v>
      </c>
      <c r="V843" s="21" t="s">
        <v>408</v>
      </c>
      <c r="W843" s="21"/>
      <c r="X843" s="2">
        <v>2012263</v>
      </c>
      <c r="Y843" s="2">
        <v>3400000</v>
      </c>
      <c r="Z843" s="2"/>
      <c r="AA843" s="2"/>
      <c r="AB843" s="2"/>
      <c r="AC843" s="2"/>
      <c r="AD843" s="2"/>
      <c r="AE843" s="2"/>
      <c r="AF843" s="2"/>
      <c r="AG843" s="2"/>
      <c r="AH843" s="2"/>
      <c r="AI843" s="12"/>
      <c r="AJ843" s="78">
        <v>100</v>
      </c>
      <c r="AK843" s="78">
        <v>2021</v>
      </c>
      <c r="AL843" s="83"/>
      <c r="AM843" s="84"/>
    </row>
    <row r="844" spans="1:39" ht="33">
      <c r="A844" s="34" t="s">
        <v>902</v>
      </c>
      <c r="E844" s="37" t="s">
        <v>902</v>
      </c>
      <c r="F844" s="37"/>
      <c r="G844" s="88" t="s">
        <v>1015</v>
      </c>
      <c r="H844" s="88" t="s">
        <v>1008</v>
      </c>
      <c r="I844" s="88" t="s">
        <v>1009</v>
      </c>
      <c r="J844" s="89" t="s">
        <v>1007</v>
      </c>
      <c r="K844" s="89" t="s">
        <v>407</v>
      </c>
      <c r="L844" s="293">
        <f t="shared" si="157"/>
        <v>22300000</v>
      </c>
      <c r="M844" s="294">
        <v>10000000</v>
      </c>
      <c r="N844" s="302">
        <v>12300000</v>
      </c>
      <c r="O844" s="286"/>
      <c r="P844" s="286"/>
      <c r="Q844" s="286"/>
      <c r="R844" s="78"/>
      <c r="S844" s="67"/>
      <c r="T844" s="67"/>
      <c r="U844" s="67">
        <v>12300000</v>
      </c>
      <c r="V844" s="21">
        <v>2.2999999999999998</v>
      </c>
      <c r="W844" s="21"/>
      <c r="X844" s="2"/>
      <c r="Y844" s="2">
        <v>12300000</v>
      </c>
      <c r="Z844" s="2"/>
      <c r="AA844" s="2"/>
      <c r="AB844" s="2"/>
      <c r="AC844" s="2"/>
      <c r="AD844" s="2"/>
      <c r="AE844" s="2"/>
      <c r="AF844" s="2"/>
      <c r="AG844" s="2"/>
      <c r="AH844" s="2"/>
      <c r="AI844" s="12"/>
      <c r="AJ844" s="78">
        <v>100</v>
      </c>
      <c r="AK844" s="78">
        <v>2021</v>
      </c>
      <c r="AL844" s="83"/>
      <c r="AM844" s="84"/>
    </row>
    <row r="845" spans="1:39" ht="33">
      <c r="A845" s="34" t="s">
        <v>902</v>
      </c>
      <c r="E845" s="37" t="s">
        <v>902</v>
      </c>
      <c r="F845" s="37"/>
      <c r="G845" s="88" t="s">
        <v>1015</v>
      </c>
      <c r="H845" s="88" t="s">
        <v>1008</v>
      </c>
      <c r="I845" s="88" t="s">
        <v>1009</v>
      </c>
      <c r="J845" s="89" t="s">
        <v>1007</v>
      </c>
      <c r="K845" s="89" t="s">
        <v>944</v>
      </c>
      <c r="L845" s="293">
        <f t="shared" si="157"/>
        <v>7687737</v>
      </c>
      <c r="M845" s="294"/>
      <c r="N845" s="302">
        <f>2000000+5687737</f>
        <v>7687737</v>
      </c>
      <c r="O845" s="286"/>
      <c r="P845" s="286"/>
      <c r="Q845" s="286"/>
      <c r="R845" s="78"/>
      <c r="S845" s="41"/>
      <c r="T845" s="41"/>
      <c r="U845" s="41">
        <f>2000000+5687737</f>
        <v>7687737</v>
      </c>
      <c r="V845" s="21" t="s">
        <v>408</v>
      </c>
      <c r="W845" s="21"/>
      <c r="X845" s="2">
        <v>203550</v>
      </c>
      <c r="Y845" s="2">
        <f>2000000+5484187</f>
        <v>7484187</v>
      </c>
      <c r="Z845" s="2">
        <v>2000000</v>
      </c>
      <c r="AA845" s="2"/>
      <c r="AB845" s="2"/>
      <c r="AC845" s="2"/>
      <c r="AD845" s="2"/>
      <c r="AE845" s="2"/>
      <c r="AF845" s="2"/>
      <c r="AG845" s="2"/>
      <c r="AH845" s="2"/>
      <c r="AI845" s="12"/>
      <c r="AJ845" s="78">
        <v>100</v>
      </c>
      <c r="AK845" s="78">
        <v>2021</v>
      </c>
      <c r="AL845" s="83"/>
      <c r="AM845" s="84"/>
    </row>
    <row r="846" spans="1:39" s="233" customFormat="1">
      <c r="A846" s="193" t="s">
        <v>903</v>
      </c>
      <c r="B846" s="181" t="s">
        <v>193</v>
      </c>
      <c r="C846" s="181"/>
      <c r="D846" s="181"/>
      <c r="E846" s="182" t="s">
        <v>1225</v>
      </c>
      <c r="F846" s="182"/>
      <c r="G846" s="183" t="s">
        <v>170</v>
      </c>
      <c r="H846" s="183"/>
      <c r="I846" s="183"/>
      <c r="J846" s="184" t="s">
        <v>171</v>
      </c>
      <c r="K846" s="201"/>
      <c r="L846" s="287">
        <f t="shared" ref="L846" si="158">SUM(L848:L855)</f>
        <v>43000000</v>
      </c>
      <c r="M846" s="288">
        <f>SUM(M848:M855)</f>
        <v>10000000</v>
      </c>
      <c r="N846" s="289">
        <f>SUM(N848:N855)</f>
        <v>33000000</v>
      </c>
      <c r="O846" s="289">
        <f t="shared" ref="O846:P846" si="159">SUM(O848:O855)</f>
        <v>0</v>
      </c>
      <c r="P846" s="289">
        <f t="shared" si="159"/>
        <v>0</v>
      </c>
      <c r="Q846" s="289">
        <f t="shared" ref="Q846" si="160">SUM(Q848:Q855)</f>
        <v>0</v>
      </c>
      <c r="R846" s="187">
        <f t="shared" ref="R846:R847" si="161">L846-M846-N846-O846-P846-Q846</f>
        <v>0</v>
      </c>
      <c r="S846" s="187"/>
      <c r="T846" s="187"/>
      <c r="U846" s="187">
        <f>SUM(U848:U855)</f>
        <v>33000000</v>
      </c>
      <c r="V846" s="187"/>
      <c r="W846" s="187">
        <f>SUM(W848:W855)</f>
        <v>0</v>
      </c>
      <c r="X846" s="187">
        <f>SUM(X848:X855)</f>
        <v>2741475</v>
      </c>
      <c r="Y846" s="187">
        <f>SUM(Y848:Y855)</f>
        <v>9422925</v>
      </c>
      <c r="Z846" s="187"/>
      <c r="AA846" s="187"/>
      <c r="AB846" s="187">
        <f>SUM(AB848:AB855)</f>
        <v>17835600</v>
      </c>
      <c r="AC846" s="187">
        <f>X846+Y846+AB846-N846</f>
        <v>-3000000</v>
      </c>
      <c r="AD846" s="187">
        <f>SUM(AD848:AD855)</f>
        <v>0</v>
      </c>
      <c r="AE846" s="187">
        <f>SUM(AE848:AE855)</f>
        <v>0</v>
      </c>
      <c r="AF846" s="187">
        <f>SUM(AF848:AF855)</f>
        <v>0</v>
      </c>
      <c r="AG846" s="187">
        <f>SUM(AG848:AG855)</f>
        <v>0</v>
      </c>
      <c r="AH846" s="187">
        <f>SUM(AH848:AH855)</f>
        <v>0</v>
      </c>
      <c r="AI846" s="231"/>
      <c r="AJ846" s="187"/>
      <c r="AK846" s="237"/>
      <c r="AL846" s="232"/>
      <c r="AM846" s="237"/>
    </row>
    <row r="847" spans="1:39" s="233" customFormat="1">
      <c r="A847" s="193" t="s">
        <v>903</v>
      </c>
      <c r="B847" s="234"/>
      <c r="C847" s="234"/>
      <c r="D847" s="234"/>
      <c r="E847" s="225" t="s">
        <v>1225</v>
      </c>
      <c r="F847" s="225"/>
      <c r="G847" s="183" t="s">
        <v>172</v>
      </c>
      <c r="H847" s="183"/>
      <c r="I847" s="183"/>
      <c r="J847" s="190" t="s">
        <v>171</v>
      </c>
      <c r="K847" s="201"/>
      <c r="L847" s="290"/>
      <c r="M847" s="291"/>
      <c r="N847" s="297"/>
      <c r="O847" s="297"/>
      <c r="P847" s="297"/>
      <c r="Q847" s="297"/>
      <c r="R847" s="187">
        <f t="shared" si="161"/>
        <v>0</v>
      </c>
      <c r="S847" s="199"/>
      <c r="T847" s="199"/>
      <c r="U847" s="199"/>
      <c r="V847" s="200"/>
      <c r="W847" s="199"/>
      <c r="X847" s="199"/>
      <c r="Y847" s="199"/>
      <c r="Z847" s="199"/>
      <c r="AA847" s="199"/>
      <c r="AB847" s="199"/>
      <c r="AC847" s="199"/>
      <c r="AD847" s="199"/>
      <c r="AE847" s="199"/>
      <c r="AF847" s="199"/>
      <c r="AG847" s="199"/>
      <c r="AH847" s="199"/>
      <c r="AI847" s="231"/>
      <c r="AJ847" s="199"/>
      <c r="AK847" s="237"/>
      <c r="AL847" s="232"/>
      <c r="AM847" s="237"/>
    </row>
    <row r="848" spans="1:39" ht="49.5">
      <c r="A848" s="34" t="s">
        <v>903</v>
      </c>
      <c r="E848" s="37" t="s">
        <v>903</v>
      </c>
      <c r="F848" s="37"/>
      <c r="G848" s="80" t="s">
        <v>845</v>
      </c>
      <c r="H848" s="80" t="s">
        <v>15</v>
      </c>
      <c r="I848" s="80" t="s">
        <v>16</v>
      </c>
      <c r="J848" s="81" t="s">
        <v>338</v>
      </c>
      <c r="K848" s="86" t="s">
        <v>18</v>
      </c>
      <c r="L848" s="293">
        <f t="shared" ref="L848:L855" si="162">SUM(M848:Q848)</f>
        <v>750000</v>
      </c>
      <c r="M848" s="294"/>
      <c r="N848" s="302">
        <v>750000</v>
      </c>
      <c r="O848" s="309"/>
      <c r="P848" s="296"/>
      <c r="Q848" s="296"/>
      <c r="R848" s="84"/>
      <c r="S848" s="68"/>
      <c r="T848" s="68"/>
      <c r="U848" s="68">
        <v>750000</v>
      </c>
      <c r="V848" s="9">
        <v>3</v>
      </c>
      <c r="W848" s="19"/>
      <c r="X848" s="19"/>
      <c r="Y848" s="19"/>
      <c r="Z848" s="52"/>
      <c r="AA848" s="52"/>
      <c r="AB848" s="19">
        <v>750000</v>
      </c>
      <c r="AC848" s="19"/>
      <c r="AD848" s="19"/>
      <c r="AE848" s="19"/>
      <c r="AF848" s="19"/>
      <c r="AG848" s="19"/>
      <c r="AH848" s="19"/>
      <c r="AI848" s="12"/>
      <c r="AJ848" s="84"/>
      <c r="AK848" s="90">
        <v>2021</v>
      </c>
      <c r="AL848" s="85"/>
      <c r="AM848" s="98"/>
    </row>
    <row r="849" spans="1:39" s="47" customFormat="1">
      <c r="A849" s="34" t="s">
        <v>903</v>
      </c>
      <c r="B849" s="32"/>
      <c r="C849" s="32"/>
      <c r="D849" s="32"/>
      <c r="E849" s="37" t="s">
        <v>903</v>
      </c>
      <c r="F849" s="37"/>
      <c r="G849" s="80" t="s">
        <v>1044</v>
      </c>
      <c r="H849" s="80" t="s">
        <v>224</v>
      </c>
      <c r="I849" s="80" t="s">
        <v>225</v>
      </c>
      <c r="J849" s="81" t="s">
        <v>226</v>
      </c>
      <c r="K849" s="86" t="s">
        <v>953</v>
      </c>
      <c r="L849" s="293">
        <f t="shared" si="162"/>
        <v>1000000</v>
      </c>
      <c r="M849" s="294"/>
      <c r="N849" s="302">
        <v>1000000</v>
      </c>
      <c r="O849" s="309"/>
      <c r="P849" s="296"/>
      <c r="Q849" s="296"/>
      <c r="R849" s="84"/>
      <c r="S849" s="41"/>
      <c r="T849" s="41"/>
      <c r="U849" s="41">
        <v>1000000</v>
      </c>
      <c r="V849" s="55"/>
      <c r="W849" s="52"/>
      <c r="X849" s="52"/>
      <c r="Y849" s="52"/>
      <c r="Z849" s="52">
        <v>1000000</v>
      </c>
      <c r="AA849" s="52"/>
      <c r="AB849" s="52"/>
      <c r="AC849" s="52"/>
      <c r="AD849" s="52"/>
      <c r="AE849" s="52"/>
      <c r="AF849" s="52"/>
      <c r="AG849" s="52"/>
      <c r="AH849" s="52"/>
      <c r="AI849" s="57"/>
      <c r="AJ849" s="84"/>
      <c r="AK849" s="90">
        <v>2021</v>
      </c>
      <c r="AL849" s="85"/>
      <c r="AM849" s="98"/>
    </row>
    <row r="850" spans="1:39" ht="82.5">
      <c r="A850" s="34" t="s">
        <v>903</v>
      </c>
      <c r="E850" s="37" t="s">
        <v>903</v>
      </c>
      <c r="F850" s="37"/>
      <c r="G850" s="80" t="s">
        <v>401</v>
      </c>
      <c r="H850" s="80" t="s">
        <v>188</v>
      </c>
      <c r="I850" s="80" t="s">
        <v>108</v>
      </c>
      <c r="J850" s="81" t="s">
        <v>186</v>
      </c>
      <c r="K850" s="86" t="s">
        <v>1162</v>
      </c>
      <c r="L850" s="293">
        <f t="shared" si="162"/>
        <v>200000</v>
      </c>
      <c r="M850" s="294"/>
      <c r="N850" s="302">
        <v>200000</v>
      </c>
      <c r="O850" s="309"/>
      <c r="P850" s="296"/>
      <c r="Q850" s="296"/>
      <c r="R850" s="84"/>
      <c r="S850" s="68"/>
      <c r="T850" s="68"/>
      <c r="U850" s="68">
        <v>200000</v>
      </c>
      <c r="V850" s="10">
        <v>3</v>
      </c>
      <c r="W850" s="13" t="s">
        <v>254</v>
      </c>
      <c r="X850" s="2"/>
      <c r="Y850" s="2"/>
      <c r="Z850" s="2"/>
      <c r="AA850" s="2"/>
      <c r="AB850" s="2">
        <v>200000</v>
      </c>
      <c r="AC850" s="2"/>
      <c r="AD850" s="2"/>
      <c r="AE850" s="2"/>
      <c r="AF850" s="2"/>
      <c r="AG850" s="2"/>
      <c r="AH850" s="2"/>
      <c r="AI850" s="12"/>
      <c r="AJ850" s="84">
        <v>100</v>
      </c>
      <c r="AK850" s="90">
        <v>2021</v>
      </c>
      <c r="AL850" s="85">
        <v>200000</v>
      </c>
      <c r="AM850" s="98"/>
    </row>
    <row r="851" spans="1:39" ht="33">
      <c r="A851" s="34" t="s">
        <v>903</v>
      </c>
      <c r="E851" s="37" t="s">
        <v>903</v>
      </c>
      <c r="F851" s="37"/>
      <c r="G851" s="80" t="s">
        <v>401</v>
      </c>
      <c r="H851" s="80" t="s">
        <v>188</v>
      </c>
      <c r="I851" s="80" t="s">
        <v>108</v>
      </c>
      <c r="J851" s="81" t="s">
        <v>186</v>
      </c>
      <c r="K851" s="86" t="s">
        <v>267</v>
      </c>
      <c r="L851" s="293">
        <f t="shared" si="162"/>
        <v>2650000</v>
      </c>
      <c r="M851" s="294"/>
      <c r="N851" s="302">
        <v>2650000</v>
      </c>
      <c r="O851" s="309"/>
      <c r="P851" s="296"/>
      <c r="Q851" s="296"/>
      <c r="R851" s="84"/>
      <c r="S851" s="68"/>
      <c r="T851" s="68"/>
      <c r="U851" s="68">
        <v>2650000</v>
      </c>
      <c r="V851" s="10">
        <v>3</v>
      </c>
      <c r="W851" s="13" t="s">
        <v>254</v>
      </c>
      <c r="X851" s="2"/>
      <c r="Y851" s="2"/>
      <c r="Z851" s="2"/>
      <c r="AA851" s="2"/>
      <c r="AB851" s="2">
        <v>2650000</v>
      </c>
      <c r="AC851" s="2"/>
      <c r="AD851" s="2"/>
      <c r="AE851" s="2"/>
      <c r="AF851" s="2"/>
      <c r="AG851" s="2"/>
      <c r="AH851" s="2"/>
      <c r="AI851" s="12"/>
      <c r="AJ851" s="84">
        <f>N851/AL851*100</f>
        <v>55.467191783990245</v>
      </c>
      <c r="AK851" s="90" t="s">
        <v>271</v>
      </c>
      <c r="AL851" s="85">
        <v>4777599</v>
      </c>
      <c r="AM851" s="98"/>
    </row>
    <row r="852" spans="1:39" ht="66">
      <c r="A852" s="34" t="s">
        <v>903</v>
      </c>
      <c r="E852" s="37" t="s">
        <v>903</v>
      </c>
      <c r="F852" s="37"/>
      <c r="G852" s="80" t="s">
        <v>401</v>
      </c>
      <c r="H852" s="80" t="s">
        <v>188</v>
      </c>
      <c r="I852" s="80" t="s">
        <v>108</v>
      </c>
      <c r="J852" s="81" t="s">
        <v>186</v>
      </c>
      <c r="K852" s="86" t="s">
        <v>403</v>
      </c>
      <c r="L852" s="293">
        <f t="shared" si="162"/>
        <v>6400000</v>
      </c>
      <c r="M852" s="294"/>
      <c r="N852" s="302">
        <v>6400000</v>
      </c>
      <c r="O852" s="309"/>
      <c r="P852" s="296"/>
      <c r="Q852" s="296"/>
      <c r="R852" s="84"/>
      <c r="S852" s="68"/>
      <c r="T852" s="68"/>
      <c r="U852" s="68">
        <v>6400000</v>
      </c>
      <c r="V852" s="10">
        <v>3</v>
      </c>
      <c r="W852" s="13" t="s">
        <v>273</v>
      </c>
      <c r="X852" s="2"/>
      <c r="Y852" s="2"/>
      <c r="Z852" s="2"/>
      <c r="AA852" s="2"/>
      <c r="AB852" s="2">
        <v>6400000</v>
      </c>
      <c r="AC852" s="2"/>
      <c r="AD852" s="2"/>
      <c r="AE852" s="2"/>
      <c r="AF852" s="2"/>
      <c r="AG852" s="2"/>
      <c r="AH852" s="2"/>
      <c r="AI852" s="12"/>
      <c r="AJ852" s="84">
        <v>100</v>
      </c>
      <c r="AK852" s="90">
        <v>2021</v>
      </c>
      <c r="AL852" s="85">
        <v>6400000</v>
      </c>
      <c r="AM852" s="98"/>
    </row>
    <row r="853" spans="1:39" ht="66">
      <c r="A853" s="34" t="s">
        <v>903</v>
      </c>
      <c r="E853" s="37" t="s">
        <v>903</v>
      </c>
      <c r="F853" s="37"/>
      <c r="G853" s="80" t="s">
        <v>401</v>
      </c>
      <c r="H853" s="80" t="s">
        <v>188</v>
      </c>
      <c r="I853" s="80" t="s">
        <v>108</v>
      </c>
      <c r="J853" s="81" t="s">
        <v>186</v>
      </c>
      <c r="K853" s="56" t="s">
        <v>268</v>
      </c>
      <c r="L853" s="293">
        <f t="shared" si="162"/>
        <v>100000</v>
      </c>
      <c r="M853" s="294"/>
      <c r="N853" s="302">
        <v>100000</v>
      </c>
      <c r="O853" s="309"/>
      <c r="P853" s="296"/>
      <c r="Q853" s="296"/>
      <c r="R853" s="84"/>
      <c r="S853" s="68"/>
      <c r="T853" s="68"/>
      <c r="U853" s="68">
        <v>100000</v>
      </c>
      <c r="V853" s="10">
        <v>3</v>
      </c>
      <c r="W853" s="21" t="s">
        <v>273</v>
      </c>
      <c r="X853" s="2"/>
      <c r="Y853" s="2"/>
      <c r="Z853" s="2"/>
      <c r="AA853" s="2"/>
      <c r="AB853" s="2">
        <v>100000</v>
      </c>
      <c r="AC853" s="2"/>
      <c r="AD853" s="2"/>
      <c r="AE853" s="2"/>
      <c r="AF853" s="2"/>
      <c r="AG853" s="2"/>
      <c r="AH853" s="2"/>
      <c r="AI853" s="12"/>
      <c r="AJ853" s="84">
        <v>100</v>
      </c>
      <c r="AK853" s="90">
        <v>2021</v>
      </c>
      <c r="AL853" s="85">
        <v>100000</v>
      </c>
      <c r="AM853" s="98"/>
    </row>
    <row r="854" spans="1:39" ht="33">
      <c r="A854" s="34" t="s">
        <v>903</v>
      </c>
      <c r="E854" s="37" t="s">
        <v>903</v>
      </c>
      <c r="F854" s="37"/>
      <c r="G854" s="80" t="s">
        <v>401</v>
      </c>
      <c r="H854" s="80" t="s">
        <v>188</v>
      </c>
      <c r="I854" s="80" t="s">
        <v>108</v>
      </c>
      <c r="J854" s="81" t="s">
        <v>186</v>
      </c>
      <c r="K854" s="86" t="s">
        <v>404</v>
      </c>
      <c r="L854" s="293">
        <f t="shared" si="162"/>
        <v>1800000</v>
      </c>
      <c r="M854" s="294"/>
      <c r="N854" s="302">
        <v>1800000</v>
      </c>
      <c r="O854" s="309"/>
      <c r="P854" s="296"/>
      <c r="Q854" s="296"/>
      <c r="R854" s="84"/>
      <c r="S854" s="68"/>
      <c r="T854" s="68"/>
      <c r="U854" s="68">
        <v>1800000</v>
      </c>
      <c r="V854" s="10">
        <v>2.2999999999999998</v>
      </c>
      <c r="W854" s="21" t="s">
        <v>254</v>
      </c>
      <c r="X854" s="2"/>
      <c r="Y854" s="2">
        <v>640000</v>
      </c>
      <c r="Z854" s="2"/>
      <c r="AA854" s="2"/>
      <c r="AB854" s="2">
        <v>1160000</v>
      </c>
      <c r="AC854" s="2"/>
      <c r="AD854" s="2"/>
      <c r="AE854" s="2"/>
      <c r="AF854" s="2"/>
      <c r="AG854" s="2"/>
      <c r="AH854" s="2"/>
      <c r="AI854" s="12"/>
      <c r="AJ854" s="84"/>
      <c r="AK854" s="90" t="s">
        <v>271</v>
      </c>
      <c r="AL854" s="85">
        <v>2380790</v>
      </c>
      <c r="AM854" s="98"/>
    </row>
    <row r="855" spans="1:39" ht="33">
      <c r="A855" s="34" t="s">
        <v>903</v>
      </c>
      <c r="E855" s="37" t="s">
        <v>903</v>
      </c>
      <c r="F855" s="37"/>
      <c r="G855" s="80" t="s">
        <v>1016</v>
      </c>
      <c r="H855" s="80" t="s">
        <v>1008</v>
      </c>
      <c r="I855" s="80" t="s">
        <v>1009</v>
      </c>
      <c r="J855" s="81" t="s">
        <v>1007</v>
      </c>
      <c r="K855" s="86" t="s">
        <v>405</v>
      </c>
      <c r="L855" s="293">
        <f t="shared" si="162"/>
        <v>30100000</v>
      </c>
      <c r="M855" s="294">
        <v>10000000</v>
      </c>
      <c r="N855" s="302">
        <f>18100000+2000000</f>
        <v>20100000</v>
      </c>
      <c r="O855" s="309"/>
      <c r="P855" s="296"/>
      <c r="Q855" s="296"/>
      <c r="R855" s="84"/>
      <c r="S855" s="41"/>
      <c r="T855" s="41"/>
      <c r="U855" s="41">
        <f>18100000+2000000</f>
        <v>20100000</v>
      </c>
      <c r="V855" s="10" t="s">
        <v>408</v>
      </c>
      <c r="W855" s="21"/>
      <c r="X855" s="2">
        <v>2741475</v>
      </c>
      <c r="Y855" s="2">
        <v>8782925</v>
      </c>
      <c r="Z855" s="2">
        <v>2000000</v>
      </c>
      <c r="AA855" s="2"/>
      <c r="AB855" s="2">
        <v>6575600</v>
      </c>
      <c r="AC855" s="2"/>
      <c r="AD855" s="2"/>
      <c r="AE855" s="2"/>
      <c r="AF855" s="2"/>
      <c r="AG855" s="2"/>
      <c r="AH855" s="2"/>
      <c r="AI855" s="12"/>
      <c r="AJ855" s="84"/>
      <c r="AK855" s="90" t="s">
        <v>271</v>
      </c>
      <c r="AL855" s="85">
        <v>86330693.50999999</v>
      </c>
      <c r="AM855" s="98"/>
    </row>
    <row r="856" spans="1:39" s="233" customFormat="1">
      <c r="A856" s="193" t="s">
        <v>904</v>
      </c>
      <c r="B856" s="181" t="s">
        <v>193</v>
      </c>
      <c r="C856" s="181"/>
      <c r="D856" s="181"/>
      <c r="E856" s="182" t="s">
        <v>1225</v>
      </c>
      <c r="F856" s="182"/>
      <c r="G856" s="183" t="s">
        <v>173</v>
      </c>
      <c r="H856" s="183"/>
      <c r="I856" s="183"/>
      <c r="J856" s="184" t="s">
        <v>174</v>
      </c>
      <c r="K856" s="201"/>
      <c r="L856" s="287">
        <f t="shared" ref="L856" si="163">SUM(L858:L866)</f>
        <v>38000000</v>
      </c>
      <c r="M856" s="288">
        <f>SUM(M858:M866)</f>
        <v>5000000</v>
      </c>
      <c r="N856" s="289">
        <f>SUM(N858:N866)</f>
        <v>33000000</v>
      </c>
      <c r="O856" s="289">
        <f t="shared" ref="O856:P856" si="164">SUM(O858:O866)</f>
        <v>0</v>
      </c>
      <c r="P856" s="289">
        <f t="shared" si="164"/>
        <v>0</v>
      </c>
      <c r="Q856" s="289">
        <f t="shared" ref="Q856" si="165">SUM(Q858:Q866)</f>
        <v>0</v>
      </c>
      <c r="R856" s="187">
        <f t="shared" ref="R856:R857" si="166">L856-M856-N856-O856-P856-Q856</f>
        <v>0</v>
      </c>
      <c r="S856" s="187"/>
      <c r="T856" s="187"/>
      <c r="U856" s="187">
        <f>SUM(U858:U866)</f>
        <v>33000000</v>
      </c>
      <c r="V856" s="187"/>
      <c r="W856" s="187">
        <f>SUM(W858:W866)</f>
        <v>0</v>
      </c>
      <c r="X856" s="187">
        <f>SUM(X858:X866)</f>
        <v>1869335.1400000001</v>
      </c>
      <c r="Y856" s="187">
        <f>SUM(Y858:Y866)</f>
        <v>1747664.8599999999</v>
      </c>
      <c r="Z856" s="187"/>
      <c r="AA856" s="187"/>
      <c r="AB856" s="187">
        <f>SUM(AB858:AB866)</f>
        <v>26383000</v>
      </c>
      <c r="AC856" s="187">
        <f>X856+Y856+AB856-N856</f>
        <v>-3000000</v>
      </c>
      <c r="AD856" s="187">
        <f>SUM(AD858:AD866)</f>
        <v>0</v>
      </c>
      <c r="AE856" s="187">
        <f>SUM(AE858:AE866)</f>
        <v>0</v>
      </c>
      <c r="AF856" s="187">
        <f>SUM(AF858:AF866)</f>
        <v>0</v>
      </c>
      <c r="AG856" s="187">
        <f>SUM(AG858:AG866)</f>
        <v>0</v>
      </c>
      <c r="AH856" s="187">
        <f>SUM(AH858:AH866)</f>
        <v>0</v>
      </c>
      <c r="AI856" s="231"/>
      <c r="AJ856" s="187"/>
      <c r="AK856" s="237"/>
      <c r="AL856" s="232"/>
      <c r="AM856" s="237"/>
    </row>
    <row r="857" spans="1:39" s="233" customFormat="1">
      <c r="A857" s="193" t="s">
        <v>904</v>
      </c>
      <c r="B857" s="234"/>
      <c r="C857" s="234"/>
      <c r="D857" s="234"/>
      <c r="E857" s="225" t="s">
        <v>1225</v>
      </c>
      <c r="F857" s="225"/>
      <c r="G857" s="183" t="s">
        <v>175</v>
      </c>
      <c r="H857" s="183"/>
      <c r="I857" s="183"/>
      <c r="J857" s="190" t="s">
        <v>174</v>
      </c>
      <c r="K857" s="201"/>
      <c r="L857" s="290"/>
      <c r="M857" s="291"/>
      <c r="N857" s="297"/>
      <c r="O857" s="297"/>
      <c r="P857" s="297"/>
      <c r="Q857" s="297"/>
      <c r="R857" s="187">
        <f t="shared" si="166"/>
        <v>0</v>
      </c>
      <c r="S857" s="199"/>
      <c r="T857" s="199"/>
      <c r="U857" s="199"/>
      <c r="V857" s="200"/>
      <c r="W857" s="199"/>
      <c r="X857" s="235"/>
      <c r="Y857" s="199"/>
      <c r="Z857" s="199"/>
      <c r="AA857" s="199"/>
      <c r="AB857" s="199"/>
      <c r="AC857" s="199"/>
      <c r="AD857" s="199"/>
      <c r="AE857" s="199"/>
      <c r="AF857" s="199"/>
      <c r="AG857" s="199"/>
      <c r="AH857" s="199"/>
      <c r="AI857" s="231"/>
      <c r="AJ857" s="199"/>
      <c r="AK857" s="237"/>
      <c r="AL857" s="232"/>
      <c r="AM857" s="237"/>
    </row>
    <row r="858" spans="1:39" ht="33">
      <c r="A858" s="34" t="s">
        <v>904</v>
      </c>
      <c r="E858" s="37" t="s">
        <v>904</v>
      </c>
      <c r="F858" s="37"/>
      <c r="G858" s="80" t="s">
        <v>1017</v>
      </c>
      <c r="H858" s="80" t="s">
        <v>1008</v>
      </c>
      <c r="I858" s="80" t="s">
        <v>1009</v>
      </c>
      <c r="J858" s="81" t="s">
        <v>1007</v>
      </c>
      <c r="K858" s="86" t="s">
        <v>696</v>
      </c>
      <c r="L858" s="293">
        <f t="shared" ref="L858:L866" si="167">SUM(M858:Q858)</f>
        <v>10619000</v>
      </c>
      <c r="M858" s="294"/>
      <c r="N858" s="302">
        <f>10619000</f>
        <v>10619000</v>
      </c>
      <c r="O858" s="335"/>
      <c r="P858" s="335"/>
      <c r="Q858" s="335"/>
      <c r="R858" s="74"/>
      <c r="S858" s="68"/>
      <c r="T858" s="68"/>
      <c r="U858" s="68">
        <f>10619000</f>
        <v>10619000</v>
      </c>
      <c r="V858" s="9" t="s">
        <v>408</v>
      </c>
      <c r="W858" s="19" t="s">
        <v>273</v>
      </c>
      <c r="X858" s="19"/>
      <c r="Y858" s="19">
        <v>1329000</v>
      </c>
      <c r="AA858" s="52"/>
      <c r="AB858" s="19">
        <v>9290000</v>
      </c>
      <c r="AC858" s="19"/>
      <c r="AD858" s="19"/>
      <c r="AE858" s="19"/>
      <c r="AF858" s="19"/>
      <c r="AG858" s="19"/>
      <c r="AH858" s="19"/>
      <c r="AI858" s="12"/>
      <c r="AJ858" s="74">
        <v>100</v>
      </c>
      <c r="AK858" s="90">
        <v>2021</v>
      </c>
      <c r="AL858" s="85">
        <v>15829100</v>
      </c>
      <c r="AM858" s="99"/>
    </row>
    <row r="859" spans="1:39" s="47" customFormat="1">
      <c r="A859" s="34" t="s">
        <v>904</v>
      </c>
      <c r="B859" s="32"/>
      <c r="C859" s="32"/>
      <c r="D859" s="32"/>
      <c r="E859" s="37" t="s">
        <v>904</v>
      </c>
      <c r="F859" s="37"/>
      <c r="G859" s="80" t="s">
        <v>334</v>
      </c>
      <c r="H859" s="80" t="s">
        <v>224</v>
      </c>
      <c r="I859" s="80" t="s">
        <v>225</v>
      </c>
      <c r="J859" s="81" t="s">
        <v>226</v>
      </c>
      <c r="K859" s="86" t="s">
        <v>953</v>
      </c>
      <c r="L859" s="293">
        <f t="shared" si="167"/>
        <v>1400000</v>
      </c>
      <c r="M859" s="294"/>
      <c r="N859" s="302">
        <f>400000+1000000</f>
        <v>1400000</v>
      </c>
      <c r="O859" s="335"/>
      <c r="P859" s="335"/>
      <c r="Q859" s="335"/>
      <c r="R859" s="74"/>
      <c r="S859" s="41"/>
      <c r="T859" s="41"/>
      <c r="U859" s="41">
        <f>400000+1000000</f>
        <v>1400000</v>
      </c>
      <c r="V859" s="55"/>
      <c r="W859" s="52"/>
      <c r="X859" s="52"/>
      <c r="Y859" s="52"/>
      <c r="Z859" s="2">
        <v>1000000</v>
      </c>
      <c r="AA859" s="52"/>
      <c r="AB859" s="52"/>
      <c r="AC859" s="52"/>
      <c r="AD859" s="52"/>
      <c r="AE859" s="52"/>
      <c r="AF859" s="52"/>
      <c r="AG859" s="52"/>
      <c r="AH859" s="52"/>
      <c r="AI859" s="57"/>
      <c r="AJ859" s="74"/>
      <c r="AK859" s="90">
        <v>2021</v>
      </c>
      <c r="AL859" s="85"/>
      <c r="AM859" s="99"/>
    </row>
    <row r="860" spans="1:39" ht="33">
      <c r="A860" s="34" t="s">
        <v>904</v>
      </c>
      <c r="E860" s="37" t="s">
        <v>904</v>
      </c>
      <c r="F860" s="37"/>
      <c r="G860" s="80" t="s">
        <v>1017</v>
      </c>
      <c r="H860" s="80" t="s">
        <v>1008</v>
      </c>
      <c r="I860" s="80" t="s">
        <v>1009</v>
      </c>
      <c r="J860" s="81" t="s">
        <v>1007</v>
      </c>
      <c r="K860" s="86" t="s">
        <v>407</v>
      </c>
      <c r="L860" s="293">
        <f t="shared" si="167"/>
        <v>15305000</v>
      </c>
      <c r="M860" s="294">
        <v>5000000</v>
      </c>
      <c r="N860" s="302">
        <f>9305000+1000000</f>
        <v>10305000</v>
      </c>
      <c r="O860" s="335"/>
      <c r="P860" s="335"/>
      <c r="Q860" s="335"/>
      <c r="R860" s="74"/>
      <c r="S860" s="41"/>
      <c r="T860" s="41"/>
      <c r="U860" s="41">
        <f>9305000+1000000</f>
        <v>10305000</v>
      </c>
      <c r="V860" s="9" t="s">
        <v>710</v>
      </c>
      <c r="W860" s="19"/>
      <c r="X860" s="19">
        <v>681335.14</v>
      </c>
      <c r="Y860" s="19">
        <v>418664.86</v>
      </c>
      <c r="Z860" s="52">
        <v>1000000</v>
      </c>
      <c r="AA860" s="52"/>
      <c r="AB860" s="19">
        <v>8405000</v>
      </c>
      <c r="AC860" s="19"/>
      <c r="AD860" s="19"/>
      <c r="AE860" s="19"/>
      <c r="AF860" s="19"/>
      <c r="AG860" s="19"/>
      <c r="AH860" s="19"/>
      <c r="AI860" s="12"/>
      <c r="AJ860" s="74">
        <v>100</v>
      </c>
      <c r="AK860" s="90">
        <v>2021</v>
      </c>
      <c r="AL860" s="85">
        <v>37348200</v>
      </c>
      <c r="AM860" s="99"/>
    </row>
    <row r="861" spans="1:39" ht="33">
      <c r="A861" s="34" t="s">
        <v>904</v>
      </c>
      <c r="E861" s="37" t="s">
        <v>904</v>
      </c>
      <c r="F861" s="37"/>
      <c r="G861" s="80" t="s">
        <v>233</v>
      </c>
      <c r="H861" s="80" t="s">
        <v>188</v>
      </c>
      <c r="I861" s="80" t="s">
        <v>108</v>
      </c>
      <c r="J861" s="81" t="s">
        <v>186</v>
      </c>
      <c r="K861" s="86" t="s">
        <v>267</v>
      </c>
      <c r="L861" s="293">
        <f t="shared" si="167"/>
        <v>2000000</v>
      </c>
      <c r="M861" s="294"/>
      <c r="N861" s="302">
        <f>1000000+1000000</f>
        <v>2000000</v>
      </c>
      <c r="O861" s="335"/>
      <c r="P861" s="335"/>
      <c r="Q861" s="335"/>
      <c r="R861" s="74"/>
      <c r="S861" s="41"/>
      <c r="T861" s="41"/>
      <c r="U861" s="41">
        <f>1000000+1000000</f>
        <v>2000000</v>
      </c>
      <c r="V861" s="9">
        <v>3</v>
      </c>
      <c r="W861" s="19"/>
      <c r="X861" s="19"/>
      <c r="Y861" s="19"/>
      <c r="Z861" s="52">
        <v>1000000</v>
      </c>
      <c r="AA861" s="52"/>
      <c r="AB861" s="19">
        <v>1000000</v>
      </c>
      <c r="AC861" s="19"/>
      <c r="AD861" s="19"/>
      <c r="AE861" s="19"/>
      <c r="AF861" s="19"/>
      <c r="AG861" s="19"/>
      <c r="AH861" s="19"/>
      <c r="AI861" s="12"/>
      <c r="AJ861" s="74">
        <v>100</v>
      </c>
      <c r="AK861" s="90">
        <v>2021</v>
      </c>
      <c r="AL861" s="85">
        <v>1000000</v>
      </c>
      <c r="AM861" s="99"/>
    </row>
    <row r="862" spans="1:39" ht="66">
      <c r="A862" s="34" t="s">
        <v>904</v>
      </c>
      <c r="E862" s="37" t="s">
        <v>904</v>
      </c>
      <c r="F862" s="37"/>
      <c r="G862" s="80" t="s">
        <v>233</v>
      </c>
      <c r="H862" s="80" t="s">
        <v>188</v>
      </c>
      <c r="I862" s="80" t="s">
        <v>108</v>
      </c>
      <c r="J862" s="81" t="s">
        <v>186</v>
      </c>
      <c r="K862" s="86" t="s">
        <v>403</v>
      </c>
      <c r="L862" s="293">
        <f t="shared" si="167"/>
        <v>5988000</v>
      </c>
      <c r="M862" s="294"/>
      <c r="N862" s="302">
        <v>5988000</v>
      </c>
      <c r="O862" s="335"/>
      <c r="P862" s="335"/>
      <c r="Q862" s="335"/>
      <c r="R862" s="74"/>
      <c r="S862" s="68"/>
      <c r="T862" s="68"/>
      <c r="U862" s="68">
        <v>5988000</v>
      </c>
      <c r="V862" s="9">
        <v>1.3</v>
      </c>
      <c r="W862" s="19"/>
      <c r="X862" s="19">
        <v>1188000</v>
      </c>
      <c r="Y862" s="19"/>
      <c r="Z862" s="52"/>
      <c r="AA862" s="52"/>
      <c r="AB862" s="19">
        <v>5000000</v>
      </c>
      <c r="AC862" s="19"/>
      <c r="AD862" s="19"/>
      <c r="AE862" s="19"/>
      <c r="AF862" s="19"/>
      <c r="AG862" s="19"/>
      <c r="AH862" s="19"/>
      <c r="AI862" s="12"/>
      <c r="AJ862" s="74">
        <v>100</v>
      </c>
      <c r="AK862" s="90">
        <v>2021</v>
      </c>
      <c r="AL862" s="85">
        <v>6188000</v>
      </c>
      <c r="AM862" s="99"/>
    </row>
    <row r="863" spans="1:39" ht="33">
      <c r="A863" s="34" t="s">
        <v>904</v>
      </c>
      <c r="E863" s="37" t="s">
        <v>904</v>
      </c>
      <c r="F863" s="37"/>
      <c r="G863" s="80" t="s">
        <v>233</v>
      </c>
      <c r="H863" s="80" t="s">
        <v>188</v>
      </c>
      <c r="I863" s="80" t="s">
        <v>108</v>
      </c>
      <c r="J863" s="81" t="s">
        <v>186</v>
      </c>
      <c r="K863" s="86" t="s">
        <v>270</v>
      </c>
      <c r="L863" s="293">
        <f t="shared" si="167"/>
        <v>428000</v>
      </c>
      <c r="M863" s="294"/>
      <c r="N863" s="302">
        <v>428000</v>
      </c>
      <c r="O863" s="335"/>
      <c r="P863" s="335"/>
      <c r="Q863" s="335"/>
      <c r="R863" s="74"/>
      <c r="S863" s="68"/>
      <c r="T863" s="68"/>
      <c r="U863" s="68">
        <v>428000</v>
      </c>
      <c r="V863" s="9">
        <v>3</v>
      </c>
      <c r="W863" s="19"/>
      <c r="X863" s="19"/>
      <c r="Y863" s="19"/>
      <c r="Z863" s="52"/>
      <c r="AA863" s="52"/>
      <c r="AB863" s="19">
        <v>428000</v>
      </c>
      <c r="AC863" s="19"/>
      <c r="AD863" s="19"/>
      <c r="AE863" s="19"/>
      <c r="AF863" s="19"/>
      <c r="AG863" s="19"/>
      <c r="AH863" s="19"/>
      <c r="AI863" s="12"/>
      <c r="AJ863" s="74">
        <v>100</v>
      </c>
      <c r="AK863" s="90">
        <v>2021</v>
      </c>
      <c r="AL863" s="85">
        <v>428000</v>
      </c>
      <c r="AM863" s="99"/>
    </row>
    <row r="864" spans="1:39" ht="49.5">
      <c r="A864" s="34" t="s">
        <v>904</v>
      </c>
      <c r="E864" s="37" t="s">
        <v>904</v>
      </c>
      <c r="F864" s="37"/>
      <c r="G864" s="80" t="s">
        <v>233</v>
      </c>
      <c r="H864" s="80" t="s">
        <v>188</v>
      </c>
      <c r="I864" s="80" t="s">
        <v>108</v>
      </c>
      <c r="J864" s="81" t="s">
        <v>186</v>
      </c>
      <c r="K864" s="86" t="s">
        <v>697</v>
      </c>
      <c r="L864" s="293">
        <f t="shared" si="167"/>
        <v>290000</v>
      </c>
      <c r="M864" s="294"/>
      <c r="N864" s="302">
        <v>290000</v>
      </c>
      <c r="O864" s="335"/>
      <c r="P864" s="335"/>
      <c r="Q864" s="335"/>
      <c r="R864" s="74"/>
      <c r="S864" s="68"/>
      <c r="T864" s="68"/>
      <c r="U864" s="68">
        <v>290000</v>
      </c>
      <c r="V864" s="9">
        <v>3</v>
      </c>
      <c r="W864" s="19" t="s">
        <v>273</v>
      </c>
      <c r="X864" s="19"/>
      <c r="Y864" s="19"/>
      <c r="Z864" s="52"/>
      <c r="AA864" s="52"/>
      <c r="AB864" s="19">
        <v>290000</v>
      </c>
      <c r="AC864" s="19"/>
      <c r="AD864" s="19"/>
      <c r="AE864" s="19"/>
      <c r="AF864" s="19"/>
      <c r="AG864" s="19"/>
      <c r="AH864" s="19"/>
      <c r="AI864" s="12"/>
      <c r="AJ864" s="74">
        <v>100</v>
      </c>
      <c r="AK864" s="90">
        <v>2021</v>
      </c>
      <c r="AL864" s="85">
        <v>290000</v>
      </c>
      <c r="AM864" s="99"/>
    </row>
    <row r="865" spans="1:39" ht="49.5">
      <c r="A865" s="34" t="s">
        <v>904</v>
      </c>
      <c r="E865" s="37" t="s">
        <v>904</v>
      </c>
      <c r="F865" s="37"/>
      <c r="G865" s="80" t="s">
        <v>406</v>
      </c>
      <c r="H865" s="80">
        <v>7330</v>
      </c>
      <c r="I865" s="80" t="s">
        <v>108</v>
      </c>
      <c r="J865" s="81" t="s">
        <v>280</v>
      </c>
      <c r="K865" s="86" t="s">
        <v>380</v>
      </c>
      <c r="L865" s="293">
        <f t="shared" si="167"/>
        <v>620000</v>
      </c>
      <c r="M865" s="294"/>
      <c r="N865" s="302">
        <v>620000</v>
      </c>
      <c r="O865" s="335"/>
      <c r="P865" s="335"/>
      <c r="Q865" s="335"/>
      <c r="R865" s="74"/>
      <c r="S865" s="68"/>
      <c r="T865" s="68"/>
      <c r="U865" s="68">
        <v>620000</v>
      </c>
      <c r="V865" s="9">
        <v>3</v>
      </c>
      <c r="W865" s="19"/>
      <c r="X865" s="19"/>
      <c r="Y865" s="19"/>
      <c r="Z865" s="52"/>
      <c r="AA865" s="52"/>
      <c r="AB865" s="19">
        <v>620000</v>
      </c>
      <c r="AC865" s="19"/>
      <c r="AD865" s="19"/>
      <c r="AE865" s="19"/>
      <c r="AF865" s="19"/>
      <c r="AG865" s="19"/>
      <c r="AH865" s="19"/>
      <c r="AI865" s="12"/>
      <c r="AJ865" s="74">
        <v>100</v>
      </c>
      <c r="AK865" s="90">
        <v>2021</v>
      </c>
      <c r="AL865" s="85">
        <v>620000</v>
      </c>
      <c r="AM865" s="98"/>
    </row>
    <row r="866" spans="1:39" ht="33">
      <c r="A866" s="34" t="s">
        <v>904</v>
      </c>
      <c r="E866" s="37" t="s">
        <v>904</v>
      </c>
      <c r="F866" s="37"/>
      <c r="G866" s="80" t="s">
        <v>406</v>
      </c>
      <c r="H866" s="80">
        <v>7330</v>
      </c>
      <c r="I866" s="80" t="s">
        <v>108</v>
      </c>
      <c r="J866" s="81" t="s">
        <v>280</v>
      </c>
      <c r="K866" s="86" t="s">
        <v>340</v>
      </c>
      <c r="L866" s="293">
        <f t="shared" si="167"/>
        <v>1350000</v>
      </c>
      <c r="M866" s="294"/>
      <c r="N866" s="302">
        <v>1350000</v>
      </c>
      <c r="O866" s="335"/>
      <c r="P866" s="335"/>
      <c r="Q866" s="335"/>
      <c r="R866" s="74"/>
      <c r="S866" s="68"/>
      <c r="T866" s="68"/>
      <c r="U866" s="68">
        <v>1350000</v>
      </c>
      <c r="V866" s="9">
        <v>3</v>
      </c>
      <c r="W866" s="19"/>
      <c r="X866" s="19"/>
      <c r="Y866" s="19"/>
      <c r="Z866" s="52"/>
      <c r="AA866" s="52"/>
      <c r="AB866" s="19">
        <v>1350000</v>
      </c>
      <c r="AC866" s="19"/>
      <c r="AD866" s="19"/>
      <c r="AE866" s="19"/>
      <c r="AF866" s="19"/>
      <c r="AG866" s="19"/>
      <c r="AH866" s="19"/>
      <c r="AI866" s="12"/>
      <c r="AJ866" s="74">
        <v>100</v>
      </c>
      <c r="AK866" s="90">
        <v>2021</v>
      </c>
      <c r="AL866" s="85">
        <v>1350000</v>
      </c>
      <c r="AM866" s="98"/>
    </row>
    <row r="867" spans="1:39" s="233" customFormat="1">
      <c r="A867" s="193" t="s">
        <v>905</v>
      </c>
      <c r="B867" s="181" t="s">
        <v>193</v>
      </c>
      <c r="C867" s="181"/>
      <c r="D867" s="181"/>
      <c r="E867" s="182" t="s">
        <v>1225</v>
      </c>
      <c r="F867" s="182"/>
      <c r="G867" s="183" t="s">
        <v>176</v>
      </c>
      <c r="H867" s="183"/>
      <c r="I867" s="183"/>
      <c r="J867" s="184" t="s">
        <v>177</v>
      </c>
      <c r="K867" s="201"/>
      <c r="L867" s="287">
        <f t="shared" ref="L867" si="168">SUM(L869:L882)</f>
        <v>43000000</v>
      </c>
      <c r="M867" s="288">
        <f>SUM(M869:M882)</f>
        <v>10000000</v>
      </c>
      <c r="N867" s="289">
        <f>SUM(N869:N882)</f>
        <v>33000000</v>
      </c>
      <c r="O867" s="289">
        <f t="shared" ref="O867:P867" si="169">SUM(O869:O882)</f>
        <v>0</v>
      </c>
      <c r="P867" s="289">
        <f t="shared" si="169"/>
        <v>0</v>
      </c>
      <c r="Q867" s="289">
        <f t="shared" ref="Q867" si="170">SUM(Q869:Q882)</f>
        <v>0</v>
      </c>
      <c r="R867" s="187">
        <f t="shared" ref="R867:R868" si="171">L867-M867-N867-O867-P867-Q867</f>
        <v>0</v>
      </c>
      <c r="S867" s="187"/>
      <c r="T867" s="187"/>
      <c r="U867" s="187">
        <f>SUM(U869:U882)</f>
        <v>33000000</v>
      </c>
      <c r="V867" s="231"/>
      <c r="W867" s="231"/>
      <c r="X867" s="187">
        <f>SUM(X869:X880)</f>
        <v>6282939</v>
      </c>
      <c r="Y867" s="187">
        <f>SUM(Y869:Y880)</f>
        <v>14619061</v>
      </c>
      <c r="Z867" s="187"/>
      <c r="AA867" s="187"/>
      <c r="AB867" s="187">
        <f>SUM(AB869:AB882)</f>
        <v>10709000</v>
      </c>
      <c r="AC867" s="187">
        <f>X867+Y867+AB867-N867</f>
        <v>-1389000</v>
      </c>
      <c r="AD867" s="187">
        <f>SUM(AD869:AD880)</f>
        <v>0</v>
      </c>
      <c r="AE867" s="187">
        <f>SUM(AE869:AE880)</f>
        <v>0</v>
      </c>
      <c r="AF867" s="187">
        <f>SUM(AF869:AF880)</f>
        <v>0</v>
      </c>
      <c r="AG867" s="187">
        <f>SUM(AG869:AG880)</f>
        <v>0</v>
      </c>
      <c r="AH867" s="187">
        <f>SUM(AH869:AH880)</f>
        <v>0</v>
      </c>
      <c r="AI867" s="231"/>
      <c r="AJ867" s="187"/>
      <c r="AK867" s="237"/>
      <c r="AL867" s="232"/>
      <c r="AM867" s="237"/>
    </row>
    <row r="868" spans="1:39" s="233" customFormat="1">
      <c r="A868" s="193" t="s">
        <v>905</v>
      </c>
      <c r="B868" s="234"/>
      <c r="C868" s="234"/>
      <c r="D868" s="234"/>
      <c r="E868" s="225" t="s">
        <v>1225</v>
      </c>
      <c r="F868" s="225"/>
      <c r="G868" s="183" t="s">
        <v>178</v>
      </c>
      <c r="H868" s="183"/>
      <c r="I868" s="183"/>
      <c r="J868" s="190" t="s">
        <v>177</v>
      </c>
      <c r="K868" s="201"/>
      <c r="L868" s="290"/>
      <c r="M868" s="291"/>
      <c r="N868" s="297"/>
      <c r="O868" s="297"/>
      <c r="P868" s="297"/>
      <c r="Q868" s="297"/>
      <c r="R868" s="187">
        <f t="shared" si="171"/>
        <v>0</v>
      </c>
      <c r="S868" s="199"/>
      <c r="T868" s="199"/>
      <c r="U868" s="199"/>
      <c r="V868" s="231"/>
      <c r="W868" s="231"/>
      <c r="X868" s="231"/>
      <c r="Y868" s="199"/>
      <c r="Z868" s="199"/>
      <c r="AA868" s="199"/>
      <c r="AB868" s="199"/>
      <c r="AC868" s="199"/>
      <c r="AD868" s="199"/>
      <c r="AE868" s="199"/>
      <c r="AF868" s="199"/>
      <c r="AG868" s="199"/>
      <c r="AH868" s="199"/>
      <c r="AI868" s="231"/>
      <c r="AJ868" s="199"/>
      <c r="AK868" s="237"/>
      <c r="AL868" s="232"/>
      <c r="AM868" s="237"/>
    </row>
    <row r="869" spans="1:39" ht="51.75" customHeight="1">
      <c r="A869" s="34" t="s">
        <v>905</v>
      </c>
      <c r="E869" s="37" t="s">
        <v>905</v>
      </c>
      <c r="F869" s="37"/>
      <c r="G869" s="80" t="s">
        <v>274</v>
      </c>
      <c r="H869" s="80" t="s">
        <v>15</v>
      </c>
      <c r="I869" s="80" t="s">
        <v>16</v>
      </c>
      <c r="J869" s="81" t="s">
        <v>275</v>
      </c>
      <c r="K869" s="86" t="s">
        <v>18</v>
      </c>
      <c r="L869" s="336">
        <f t="shared" ref="L869:L882" si="172">SUM(M869:Q869)</f>
        <v>800000</v>
      </c>
      <c r="M869" s="337"/>
      <c r="N869" s="338">
        <v>800000</v>
      </c>
      <c r="O869" s="339"/>
      <c r="P869" s="339"/>
      <c r="Q869" s="339"/>
      <c r="R869" s="90"/>
      <c r="S869" s="6"/>
      <c r="T869" s="6"/>
      <c r="U869" s="6">
        <v>800000</v>
      </c>
      <c r="V869" s="10">
        <v>3</v>
      </c>
      <c r="W869" s="2" t="s">
        <v>254</v>
      </c>
      <c r="X869" s="2"/>
      <c r="Y869" s="2"/>
      <c r="Z869" s="2"/>
      <c r="AA869" s="2"/>
      <c r="AB869" s="2">
        <v>800000</v>
      </c>
      <c r="AC869" s="2"/>
      <c r="AD869" s="2"/>
      <c r="AE869" s="2"/>
      <c r="AF869" s="2"/>
      <c r="AG869" s="2"/>
      <c r="AH869" s="2"/>
      <c r="AI869" s="12"/>
      <c r="AJ869" s="90"/>
      <c r="AK869" s="90">
        <v>2021</v>
      </c>
      <c r="AL869" s="97"/>
      <c r="AM869" s="90"/>
    </row>
    <row r="870" spans="1:39">
      <c r="A870" s="34" t="s">
        <v>905</v>
      </c>
      <c r="E870" s="37" t="s">
        <v>905</v>
      </c>
      <c r="F870" s="37"/>
      <c r="G870" s="80" t="s">
        <v>954</v>
      </c>
      <c r="H870" s="80" t="s">
        <v>224</v>
      </c>
      <c r="I870" s="80" t="s">
        <v>225</v>
      </c>
      <c r="J870" s="81" t="s">
        <v>226</v>
      </c>
      <c r="K870" s="86" t="s">
        <v>955</v>
      </c>
      <c r="L870" s="336">
        <f t="shared" si="172"/>
        <v>1400000</v>
      </c>
      <c r="M870" s="337"/>
      <c r="N870" s="338">
        <v>1400000</v>
      </c>
      <c r="O870" s="339"/>
      <c r="P870" s="339"/>
      <c r="Q870" s="339"/>
      <c r="R870" s="90"/>
      <c r="S870" s="64"/>
      <c r="T870" s="64"/>
      <c r="U870" s="64">
        <v>1400000</v>
      </c>
      <c r="V870" s="10">
        <v>3</v>
      </c>
      <c r="W870" s="2"/>
      <c r="X870" s="2"/>
      <c r="Y870" s="2"/>
      <c r="Z870" s="2">
        <v>1000000</v>
      </c>
      <c r="AA870" s="2"/>
      <c r="AB870" s="2">
        <v>400000</v>
      </c>
      <c r="AC870" s="2"/>
      <c r="AD870" s="2"/>
      <c r="AE870" s="2"/>
      <c r="AF870" s="2"/>
      <c r="AG870" s="2"/>
      <c r="AH870" s="2"/>
      <c r="AI870" s="12"/>
      <c r="AJ870" s="90"/>
      <c r="AK870" s="90">
        <v>2021</v>
      </c>
      <c r="AL870" s="97"/>
      <c r="AM870" s="90"/>
    </row>
    <row r="871" spans="1:39" ht="49.5">
      <c r="A871" s="34" t="s">
        <v>905</v>
      </c>
      <c r="E871" s="37" t="s">
        <v>905</v>
      </c>
      <c r="F871" s="37"/>
      <c r="G871" s="80" t="s">
        <v>236</v>
      </c>
      <c r="H871" s="80" t="s">
        <v>188</v>
      </c>
      <c r="I871" s="80" t="s">
        <v>108</v>
      </c>
      <c r="J871" s="81" t="s">
        <v>186</v>
      </c>
      <c r="K871" s="86" t="s">
        <v>945</v>
      </c>
      <c r="L871" s="336">
        <f t="shared" si="172"/>
        <v>2826</v>
      </c>
      <c r="M871" s="337"/>
      <c r="N871" s="338">
        <v>2826</v>
      </c>
      <c r="O871" s="339"/>
      <c r="P871" s="339"/>
      <c r="Q871" s="339"/>
      <c r="R871" s="90"/>
      <c r="S871" s="6"/>
      <c r="T871" s="6"/>
      <c r="U871" s="6">
        <v>2826</v>
      </c>
      <c r="V871" s="10">
        <v>1</v>
      </c>
      <c r="W871" s="2" t="s">
        <v>254</v>
      </c>
      <c r="X871" s="2">
        <v>2826</v>
      </c>
      <c r="Y871" s="2"/>
      <c r="Z871" s="2"/>
      <c r="AA871" s="2"/>
      <c r="AB871" s="2"/>
      <c r="AC871" s="2"/>
      <c r="AD871" s="2"/>
      <c r="AE871" s="2"/>
      <c r="AF871" s="2"/>
      <c r="AG871" s="2"/>
      <c r="AH871" s="2"/>
      <c r="AI871" s="12"/>
      <c r="AJ871" s="90">
        <v>100</v>
      </c>
      <c r="AK871" s="90" t="s">
        <v>271</v>
      </c>
      <c r="AL871" s="97">
        <v>2826</v>
      </c>
      <c r="AM871" s="90">
        <v>100</v>
      </c>
    </row>
    <row r="872" spans="1:39" ht="66">
      <c r="A872" s="34" t="s">
        <v>905</v>
      </c>
      <c r="E872" s="37" t="s">
        <v>905</v>
      </c>
      <c r="F872" s="37"/>
      <c r="G872" s="80" t="s">
        <v>236</v>
      </c>
      <c r="H872" s="80" t="s">
        <v>188</v>
      </c>
      <c r="I872" s="80" t="s">
        <v>108</v>
      </c>
      <c r="J872" s="81" t="s">
        <v>186</v>
      </c>
      <c r="K872" s="86" t="s">
        <v>862</v>
      </c>
      <c r="L872" s="336">
        <f t="shared" si="172"/>
        <v>201028</v>
      </c>
      <c r="M872" s="337"/>
      <c r="N872" s="338">
        <v>201028</v>
      </c>
      <c r="O872" s="339"/>
      <c r="P872" s="339"/>
      <c r="Q872" s="339"/>
      <c r="R872" s="90"/>
      <c r="S872" s="6"/>
      <c r="T872" s="6"/>
      <c r="U872" s="6">
        <v>201028</v>
      </c>
      <c r="V872" s="10">
        <v>1</v>
      </c>
      <c r="W872" s="2" t="s">
        <v>254</v>
      </c>
      <c r="X872" s="2">
        <v>201028</v>
      </c>
      <c r="Y872" s="2"/>
      <c r="Z872" s="2"/>
      <c r="AA872" s="2"/>
      <c r="AB872" s="2"/>
      <c r="AC872" s="2"/>
      <c r="AD872" s="2"/>
      <c r="AE872" s="2"/>
      <c r="AF872" s="2"/>
      <c r="AG872" s="2"/>
      <c r="AH872" s="2"/>
      <c r="AI872" s="12"/>
      <c r="AJ872" s="90">
        <v>100</v>
      </c>
      <c r="AK872" s="90" t="s">
        <v>271</v>
      </c>
      <c r="AL872" s="97">
        <v>201028</v>
      </c>
      <c r="AM872" s="90">
        <v>100</v>
      </c>
    </row>
    <row r="873" spans="1:39" ht="33">
      <c r="A873" s="34" t="s">
        <v>905</v>
      </c>
      <c r="E873" s="37" t="s">
        <v>905</v>
      </c>
      <c r="F873" s="37"/>
      <c r="G873" s="80" t="s">
        <v>236</v>
      </c>
      <c r="H873" s="80" t="s">
        <v>188</v>
      </c>
      <c r="I873" s="80" t="s">
        <v>108</v>
      </c>
      <c r="J873" s="81" t="s">
        <v>186</v>
      </c>
      <c r="K873" s="86" t="s">
        <v>266</v>
      </c>
      <c r="L873" s="336">
        <f t="shared" si="172"/>
        <v>5689</v>
      </c>
      <c r="M873" s="337"/>
      <c r="N873" s="338">
        <v>5689</v>
      </c>
      <c r="O873" s="339"/>
      <c r="P873" s="339"/>
      <c r="Q873" s="339"/>
      <c r="R873" s="90"/>
      <c r="S873" s="6"/>
      <c r="T873" s="6"/>
      <c r="U873" s="6">
        <v>5689</v>
      </c>
      <c r="V873" s="10">
        <v>1</v>
      </c>
      <c r="W873" s="2" t="s">
        <v>254</v>
      </c>
      <c r="X873" s="2">
        <v>5689</v>
      </c>
      <c r="Y873" s="2"/>
      <c r="Z873" s="2"/>
      <c r="AA873" s="2"/>
      <c r="AB873" s="2"/>
      <c r="AC873" s="2"/>
      <c r="AD873" s="2"/>
      <c r="AE873" s="2"/>
      <c r="AF873" s="2"/>
      <c r="AG873" s="2"/>
      <c r="AH873" s="2"/>
      <c r="AI873" s="12"/>
      <c r="AJ873" s="90">
        <v>100</v>
      </c>
      <c r="AK873" s="90" t="s">
        <v>271</v>
      </c>
      <c r="AL873" s="97">
        <v>5689</v>
      </c>
      <c r="AM873" s="90">
        <v>100</v>
      </c>
    </row>
    <row r="874" spans="1:39" ht="33">
      <c r="A874" s="34" t="s">
        <v>905</v>
      </c>
      <c r="E874" s="37" t="s">
        <v>905</v>
      </c>
      <c r="F874" s="37"/>
      <c r="G874" s="80" t="s">
        <v>236</v>
      </c>
      <c r="H874" s="80" t="s">
        <v>188</v>
      </c>
      <c r="I874" s="80" t="s">
        <v>108</v>
      </c>
      <c r="J874" s="81" t="s">
        <v>186</v>
      </c>
      <c r="K874" s="86" t="s">
        <v>267</v>
      </c>
      <c r="L874" s="336">
        <f t="shared" si="172"/>
        <v>3500000</v>
      </c>
      <c r="M874" s="337"/>
      <c r="N874" s="338">
        <v>3500000</v>
      </c>
      <c r="O874" s="339"/>
      <c r="P874" s="339"/>
      <c r="Q874" s="339"/>
      <c r="R874" s="90"/>
      <c r="S874" s="6"/>
      <c r="T874" s="6"/>
      <c r="U874" s="6">
        <v>3500000</v>
      </c>
      <c r="V874" s="10">
        <v>3</v>
      </c>
      <c r="W874" s="2" t="s">
        <v>254</v>
      </c>
      <c r="X874" s="2"/>
      <c r="Y874" s="2"/>
      <c r="Z874" s="2"/>
      <c r="AA874" s="2"/>
      <c r="AB874" s="2">
        <v>3500000</v>
      </c>
      <c r="AC874" s="2"/>
      <c r="AD874" s="2"/>
      <c r="AE874" s="2"/>
      <c r="AF874" s="2"/>
      <c r="AG874" s="2"/>
      <c r="AH874" s="2"/>
      <c r="AI874" s="12"/>
      <c r="AJ874" s="90">
        <v>100</v>
      </c>
      <c r="AK874" s="90">
        <v>2021</v>
      </c>
      <c r="AL874" s="97">
        <v>3500000</v>
      </c>
      <c r="AM874" s="90"/>
    </row>
    <row r="875" spans="1:39" ht="66">
      <c r="A875" s="34" t="s">
        <v>905</v>
      </c>
      <c r="E875" s="37" t="s">
        <v>905</v>
      </c>
      <c r="F875" s="37"/>
      <c r="G875" s="80" t="s">
        <v>236</v>
      </c>
      <c r="H875" s="80" t="s">
        <v>188</v>
      </c>
      <c r="I875" s="80" t="s">
        <v>108</v>
      </c>
      <c r="J875" s="81" t="s">
        <v>186</v>
      </c>
      <c r="K875" s="86" t="s">
        <v>268</v>
      </c>
      <c r="L875" s="336">
        <f t="shared" si="172"/>
        <v>800000</v>
      </c>
      <c r="M875" s="337"/>
      <c r="N875" s="338">
        <v>800000</v>
      </c>
      <c r="O875" s="339"/>
      <c r="P875" s="339"/>
      <c r="Q875" s="339"/>
      <c r="R875" s="90"/>
      <c r="S875" s="6"/>
      <c r="T875" s="6"/>
      <c r="U875" s="6">
        <v>800000</v>
      </c>
      <c r="V875" s="10">
        <v>3</v>
      </c>
      <c r="W875" s="2" t="s">
        <v>254</v>
      </c>
      <c r="X875" s="2"/>
      <c r="Y875" s="2"/>
      <c r="Z875" s="2"/>
      <c r="AA875" s="2"/>
      <c r="AB875" s="2">
        <v>800000</v>
      </c>
      <c r="AC875" s="2"/>
      <c r="AD875" s="2"/>
      <c r="AE875" s="2"/>
      <c r="AF875" s="2"/>
      <c r="AG875" s="2"/>
      <c r="AH875" s="2"/>
      <c r="AI875" s="12"/>
      <c r="AJ875" s="90">
        <v>100</v>
      </c>
      <c r="AK875" s="90">
        <v>2021</v>
      </c>
      <c r="AL875" s="97">
        <v>800000</v>
      </c>
      <c r="AM875" s="90"/>
    </row>
    <row r="876" spans="1:39" ht="66">
      <c r="A876" s="34" t="s">
        <v>905</v>
      </c>
      <c r="E876" s="37" t="s">
        <v>905</v>
      </c>
      <c r="F876" s="37"/>
      <c r="G876" s="80" t="s">
        <v>236</v>
      </c>
      <c r="H876" s="80" t="s">
        <v>188</v>
      </c>
      <c r="I876" s="80" t="s">
        <v>108</v>
      </c>
      <c r="J876" s="81" t="s">
        <v>186</v>
      </c>
      <c r="K876" s="86" t="s">
        <v>269</v>
      </c>
      <c r="L876" s="336">
        <f t="shared" si="172"/>
        <v>5329269</v>
      </c>
      <c r="M876" s="337"/>
      <c r="N876" s="338">
        <v>5329269</v>
      </c>
      <c r="O876" s="339"/>
      <c r="P876" s="339"/>
      <c r="Q876" s="339"/>
      <c r="R876" s="90"/>
      <c r="S876" s="6"/>
      <c r="T876" s="6"/>
      <c r="U876" s="6">
        <v>5329269</v>
      </c>
      <c r="V876" s="10">
        <v>1.3</v>
      </c>
      <c r="W876" s="2" t="s">
        <v>254</v>
      </c>
      <c r="X876" s="2">
        <v>1829269</v>
      </c>
      <c r="Y876" s="2"/>
      <c r="Z876" s="2"/>
      <c r="AA876" s="2"/>
      <c r="AB876" s="2">
        <v>3500000</v>
      </c>
      <c r="AC876" s="2"/>
      <c r="AD876" s="2"/>
      <c r="AE876" s="2"/>
      <c r="AF876" s="2"/>
      <c r="AG876" s="2"/>
      <c r="AH876" s="2"/>
      <c r="AI876" s="12"/>
      <c r="AJ876" s="90">
        <v>100</v>
      </c>
      <c r="AK876" s="90">
        <v>2021</v>
      </c>
      <c r="AL876" s="97">
        <v>5329269</v>
      </c>
      <c r="AM876" s="90"/>
    </row>
    <row r="877" spans="1:39" ht="33">
      <c r="A877" s="34" t="s">
        <v>905</v>
      </c>
      <c r="E877" s="37" t="s">
        <v>905</v>
      </c>
      <c r="F877" s="37"/>
      <c r="G877" s="80" t="s">
        <v>236</v>
      </c>
      <c r="H877" s="80" t="s">
        <v>188</v>
      </c>
      <c r="I877" s="80" t="s">
        <v>108</v>
      </c>
      <c r="J877" s="81" t="s">
        <v>186</v>
      </c>
      <c r="K877" s="86" t="s">
        <v>270</v>
      </c>
      <c r="L877" s="336">
        <f t="shared" si="172"/>
        <v>1000000</v>
      </c>
      <c r="M877" s="337"/>
      <c r="N877" s="338">
        <v>1000000</v>
      </c>
      <c r="O877" s="339"/>
      <c r="P877" s="339"/>
      <c r="Q877" s="339"/>
      <c r="R877" s="90"/>
      <c r="S877" s="6"/>
      <c r="T877" s="6"/>
      <c r="U877" s="6">
        <v>1000000</v>
      </c>
      <c r="V877" s="10">
        <v>3</v>
      </c>
      <c r="W877" s="2" t="s">
        <v>254</v>
      </c>
      <c r="X877" s="2"/>
      <c r="Y877" s="2"/>
      <c r="Z877" s="2"/>
      <c r="AA877" s="2"/>
      <c r="AB877" s="2">
        <v>1000000</v>
      </c>
      <c r="AC877" s="2"/>
      <c r="AD877" s="2"/>
      <c r="AE877" s="2"/>
      <c r="AF877" s="2"/>
      <c r="AG877" s="2"/>
      <c r="AH877" s="2"/>
      <c r="AI877" s="12"/>
      <c r="AJ877" s="90">
        <v>100</v>
      </c>
      <c r="AK877" s="90">
        <v>2021</v>
      </c>
      <c r="AL877" s="97">
        <v>1000000</v>
      </c>
      <c r="AM877" s="90"/>
    </row>
    <row r="878" spans="1:39" ht="33">
      <c r="A878" s="34" t="s">
        <v>905</v>
      </c>
      <c r="E878" s="37" t="s">
        <v>905</v>
      </c>
      <c r="F878" s="37"/>
      <c r="G878" s="80" t="s">
        <v>1018</v>
      </c>
      <c r="H878" s="80" t="s">
        <v>1008</v>
      </c>
      <c r="I878" s="80" t="s">
        <v>1009</v>
      </c>
      <c r="J878" s="81" t="s">
        <v>1007</v>
      </c>
      <c r="K878" s="86" t="s">
        <v>972</v>
      </c>
      <c r="L878" s="336">
        <f t="shared" si="172"/>
        <v>18288604</v>
      </c>
      <c r="M878" s="337">
        <v>8500000</v>
      </c>
      <c r="N878" s="338">
        <v>9788604</v>
      </c>
      <c r="O878" s="339"/>
      <c r="P878" s="339"/>
      <c r="Q878" s="339"/>
      <c r="R878" s="90"/>
      <c r="S878" s="128"/>
      <c r="T878" s="128"/>
      <c r="U878" s="128">
        <v>9788604</v>
      </c>
      <c r="V878" s="10">
        <v>1.2</v>
      </c>
      <c r="W878" s="2" t="s">
        <v>254</v>
      </c>
      <c r="X878" s="2">
        <v>1277604</v>
      </c>
      <c r="Y878" s="2">
        <v>8122000</v>
      </c>
      <c r="Z878" s="2"/>
      <c r="AA878" s="2"/>
      <c r="AB878" s="2"/>
      <c r="AC878" s="2"/>
      <c r="AD878" s="2"/>
      <c r="AE878" s="2"/>
      <c r="AF878" s="2"/>
      <c r="AG878" s="2"/>
      <c r="AH878" s="2"/>
      <c r="AI878" s="12"/>
      <c r="AJ878" s="90">
        <v>100</v>
      </c>
      <c r="AK878" s="90" t="s">
        <v>271</v>
      </c>
      <c r="AL878" s="126">
        <v>12117400</v>
      </c>
      <c r="AM878" s="127">
        <v>30</v>
      </c>
    </row>
    <row r="879" spans="1:39" s="47" customFormat="1" ht="33">
      <c r="A879" s="72" t="s">
        <v>905</v>
      </c>
      <c r="B879" s="32"/>
      <c r="C879" s="32"/>
      <c r="D879" s="32"/>
      <c r="E879" s="37" t="s">
        <v>905</v>
      </c>
      <c r="F879" s="37"/>
      <c r="G879" s="80" t="s">
        <v>1018</v>
      </c>
      <c r="H879" s="80" t="s">
        <v>1008</v>
      </c>
      <c r="I879" s="80" t="s">
        <v>1009</v>
      </c>
      <c r="J879" s="81" t="s">
        <v>1007</v>
      </c>
      <c r="K879" s="86" t="s">
        <v>1400</v>
      </c>
      <c r="L879" s="336">
        <f t="shared" si="172"/>
        <v>1500000</v>
      </c>
      <c r="M879" s="337">
        <v>1500000</v>
      </c>
      <c r="N879" s="338"/>
      <c r="O879" s="339"/>
      <c r="P879" s="339"/>
      <c r="Q879" s="339"/>
      <c r="R879" s="90"/>
      <c r="S879" s="128"/>
      <c r="T879" s="128"/>
      <c r="U879" s="128"/>
      <c r="V879" s="10"/>
      <c r="W879" s="68"/>
      <c r="X879" s="68"/>
      <c r="Y879" s="68"/>
      <c r="Z879" s="68"/>
      <c r="AA879" s="68"/>
      <c r="AB879" s="68"/>
      <c r="AC879" s="68"/>
      <c r="AD879" s="68"/>
      <c r="AE879" s="68"/>
      <c r="AF879" s="68"/>
      <c r="AG879" s="68"/>
      <c r="AH879" s="68"/>
      <c r="AI879" s="57"/>
      <c r="AJ879" s="90"/>
      <c r="AK879" s="90">
        <v>2021</v>
      </c>
      <c r="AL879" s="126"/>
      <c r="AM879" s="127"/>
    </row>
    <row r="880" spans="1:39" ht="33">
      <c r="A880" s="34" t="s">
        <v>905</v>
      </c>
      <c r="E880" s="37" t="s">
        <v>905</v>
      </c>
      <c r="F880" s="37"/>
      <c r="G880" s="80" t="s">
        <v>236</v>
      </c>
      <c r="H880" s="80" t="s">
        <v>188</v>
      </c>
      <c r="I880" s="80" t="s">
        <v>108</v>
      </c>
      <c r="J880" s="81" t="s">
        <v>186</v>
      </c>
      <c r="K880" s="86" t="s">
        <v>799</v>
      </c>
      <c r="L880" s="336">
        <f t="shared" si="172"/>
        <v>9463584</v>
      </c>
      <c r="M880" s="337"/>
      <c r="N880" s="338">
        <v>9463584</v>
      </c>
      <c r="O880" s="339"/>
      <c r="P880" s="339"/>
      <c r="Q880" s="339"/>
      <c r="R880" s="90"/>
      <c r="S880" s="128"/>
      <c r="T880" s="128"/>
      <c r="U880" s="128">
        <v>9463584</v>
      </c>
      <c r="V880" s="10">
        <v>1.2</v>
      </c>
      <c r="W880" s="2" t="s">
        <v>273</v>
      </c>
      <c r="X880" s="2">
        <v>2966523</v>
      </c>
      <c r="Y880" s="2">
        <f>N880-X880</f>
        <v>6497061</v>
      </c>
      <c r="Z880" s="2">
        <v>2000000</v>
      </c>
      <c r="AA880" s="2"/>
      <c r="AB880" s="2"/>
      <c r="AC880" s="2"/>
      <c r="AD880" s="2"/>
      <c r="AE880" s="2"/>
      <c r="AF880" s="2"/>
      <c r="AG880" s="2"/>
      <c r="AH880" s="2"/>
      <c r="AI880" s="12"/>
      <c r="AJ880" s="90">
        <v>43</v>
      </c>
      <c r="AK880" s="90" t="s">
        <v>272</v>
      </c>
      <c r="AL880" s="97">
        <v>22747960</v>
      </c>
      <c r="AM880" s="90">
        <v>13</v>
      </c>
    </row>
    <row r="881" spans="1:39" ht="82.5">
      <c r="A881" s="34" t="s">
        <v>905</v>
      </c>
      <c r="E881" s="37" t="s">
        <v>905</v>
      </c>
      <c r="F881" s="37"/>
      <c r="G881" s="80" t="s">
        <v>236</v>
      </c>
      <c r="H881" s="80" t="s">
        <v>188</v>
      </c>
      <c r="I881" s="80" t="s">
        <v>108</v>
      </c>
      <c r="J881" s="81" t="s">
        <v>186</v>
      </c>
      <c r="K881" s="86" t="s">
        <v>1162</v>
      </c>
      <c r="L881" s="336">
        <f t="shared" si="172"/>
        <v>350000</v>
      </c>
      <c r="M881" s="337"/>
      <c r="N881" s="338">
        <v>350000</v>
      </c>
      <c r="O881" s="339"/>
      <c r="P881" s="339"/>
      <c r="Q881" s="339"/>
      <c r="R881" s="90"/>
      <c r="S881" s="6"/>
      <c r="T881" s="6"/>
      <c r="U881" s="6">
        <v>350000</v>
      </c>
      <c r="V881" s="10">
        <v>3</v>
      </c>
      <c r="W881" s="2" t="s">
        <v>254</v>
      </c>
      <c r="X881" s="2"/>
      <c r="Y881" s="2"/>
      <c r="Z881" s="2"/>
      <c r="AA881" s="2"/>
      <c r="AB881" s="2">
        <v>350000</v>
      </c>
      <c r="AC881" s="2"/>
      <c r="AD881" s="2"/>
      <c r="AE881" s="2"/>
      <c r="AF881" s="2"/>
      <c r="AG881" s="2"/>
      <c r="AH881" s="2"/>
      <c r="AI881" s="12"/>
      <c r="AJ881" s="90">
        <v>100</v>
      </c>
      <c r="AK881" s="90">
        <v>2021</v>
      </c>
      <c r="AL881" s="97">
        <v>350000</v>
      </c>
      <c r="AM881" s="90"/>
    </row>
    <row r="882" spans="1:39" ht="51.75" customHeight="1">
      <c r="A882" s="34" t="s">
        <v>905</v>
      </c>
      <c r="E882" s="37" t="s">
        <v>905</v>
      </c>
      <c r="F882" s="37"/>
      <c r="G882" s="80" t="s">
        <v>348</v>
      </c>
      <c r="H882" s="80" t="s">
        <v>107</v>
      </c>
      <c r="I882" s="80" t="s">
        <v>108</v>
      </c>
      <c r="J882" s="81" t="s">
        <v>280</v>
      </c>
      <c r="K882" s="86" t="s">
        <v>380</v>
      </c>
      <c r="L882" s="336">
        <f t="shared" si="172"/>
        <v>359000</v>
      </c>
      <c r="M882" s="337"/>
      <c r="N882" s="338">
        <v>359000</v>
      </c>
      <c r="O882" s="339"/>
      <c r="P882" s="339"/>
      <c r="Q882" s="339"/>
      <c r="R882" s="90"/>
      <c r="S882" s="6"/>
      <c r="T882" s="6"/>
      <c r="U882" s="6">
        <v>359000</v>
      </c>
      <c r="V882" s="10">
        <v>3</v>
      </c>
      <c r="W882" s="2" t="s">
        <v>254</v>
      </c>
      <c r="X882" s="2"/>
      <c r="Y882" s="2"/>
      <c r="Z882" s="2"/>
      <c r="AA882" s="2"/>
      <c r="AB882" s="2">
        <v>359000</v>
      </c>
      <c r="AC882" s="2"/>
      <c r="AD882" s="2"/>
      <c r="AE882" s="2"/>
      <c r="AF882" s="2"/>
      <c r="AG882" s="2"/>
      <c r="AH882" s="2"/>
      <c r="AI882" s="12"/>
      <c r="AJ882" s="90">
        <v>100</v>
      </c>
      <c r="AK882" s="90">
        <v>2021</v>
      </c>
      <c r="AL882" s="97">
        <v>359000</v>
      </c>
      <c r="AM882" s="97"/>
    </row>
    <row r="883" spans="1:39" s="233" customFormat="1">
      <c r="A883" s="193" t="s">
        <v>906</v>
      </c>
      <c r="B883" s="181" t="s">
        <v>193</v>
      </c>
      <c r="C883" s="181"/>
      <c r="D883" s="181"/>
      <c r="E883" s="182" t="s">
        <v>1225</v>
      </c>
      <c r="F883" s="182"/>
      <c r="G883" s="183" t="s">
        <v>179</v>
      </c>
      <c r="H883" s="183"/>
      <c r="I883" s="183"/>
      <c r="J883" s="184" t="s">
        <v>180</v>
      </c>
      <c r="K883" s="201"/>
      <c r="L883" s="287">
        <f t="shared" ref="L883" si="173">SUM(L885:L895)</f>
        <v>38000000</v>
      </c>
      <c r="M883" s="288">
        <f>SUM(M885:M895)</f>
        <v>5000000</v>
      </c>
      <c r="N883" s="289">
        <f>SUM(N885:N895)</f>
        <v>33000000</v>
      </c>
      <c r="O883" s="289">
        <f t="shared" ref="O883:P883" si="174">SUM(O885:O895)</f>
        <v>0</v>
      </c>
      <c r="P883" s="289">
        <f t="shared" si="174"/>
        <v>0</v>
      </c>
      <c r="Q883" s="289">
        <f t="shared" ref="Q883" si="175">SUM(Q885:Q895)</f>
        <v>0</v>
      </c>
      <c r="R883" s="187">
        <f t="shared" ref="R883:R884" si="176">L883-M883-N883-O883-P883-Q883</f>
        <v>0</v>
      </c>
      <c r="S883" s="187"/>
      <c r="T883" s="187"/>
      <c r="U883" s="187">
        <f>SUM(U885:U895)</f>
        <v>33000000</v>
      </c>
      <c r="V883" s="187"/>
      <c r="W883" s="187">
        <f>SUM(W885:W895)</f>
        <v>0</v>
      </c>
      <c r="X883" s="187">
        <f>SUM(X885:X895)</f>
        <v>2304430.7000000002</v>
      </c>
      <c r="Y883" s="187">
        <f>SUM(Y885:Y895)</f>
        <v>8613944.3499999996</v>
      </c>
      <c r="Z883" s="187"/>
      <c r="AA883" s="187"/>
      <c r="AB883" s="187">
        <f>SUM(AB885:AB895)</f>
        <v>19081624.949999999</v>
      </c>
      <c r="AC883" s="187">
        <f>X883+Y883+AB883-N883</f>
        <v>-3000000</v>
      </c>
      <c r="AD883" s="187">
        <f>SUM(AD885:AD895)</f>
        <v>0</v>
      </c>
      <c r="AE883" s="187">
        <f>SUM(AE885:AE895)</f>
        <v>0</v>
      </c>
      <c r="AF883" s="187">
        <f>SUM(AF885:AF895)</f>
        <v>0</v>
      </c>
      <c r="AG883" s="187">
        <f>SUM(AG885:AG895)</f>
        <v>0</v>
      </c>
      <c r="AH883" s="187">
        <f>SUM(AH885:AH895)</f>
        <v>0</v>
      </c>
      <c r="AI883" s="231"/>
      <c r="AJ883" s="187"/>
      <c r="AK883" s="237"/>
      <c r="AL883" s="232"/>
      <c r="AM883" s="237"/>
    </row>
    <row r="884" spans="1:39" s="233" customFormat="1">
      <c r="A884" s="193" t="s">
        <v>906</v>
      </c>
      <c r="B884" s="234"/>
      <c r="C884" s="234"/>
      <c r="D884" s="234"/>
      <c r="E884" s="225" t="s">
        <v>1225</v>
      </c>
      <c r="F884" s="225"/>
      <c r="G884" s="183" t="s">
        <v>181</v>
      </c>
      <c r="H884" s="183"/>
      <c r="I884" s="183"/>
      <c r="J884" s="190" t="s">
        <v>180</v>
      </c>
      <c r="K884" s="201"/>
      <c r="L884" s="290"/>
      <c r="M884" s="291"/>
      <c r="N884" s="297"/>
      <c r="O884" s="297"/>
      <c r="P884" s="297"/>
      <c r="Q884" s="297"/>
      <c r="R884" s="187">
        <f t="shared" si="176"/>
        <v>0</v>
      </c>
      <c r="S884" s="199"/>
      <c r="T884" s="199"/>
      <c r="U884" s="199"/>
      <c r="V884" s="200"/>
      <c r="W884" s="199"/>
      <c r="X884" s="199"/>
      <c r="Y884" s="187"/>
      <c r="Z884" s="199"/>
      <c r="AA884" s="199"/>
      <c r="AB884" s="199"/>
      <c r="AC884" s="199"/>
      <c r="AD884" s="199"/>
      <c r="AE884" s="199"/>
      <c r="AF884" s="199"/>
      <c r="AG884" s="199"/>
      <c r="AH884" s="199"/>
      <c r="AI884" s="231"/>
      <c r="AJ884" s="199"/>
      <c r="AK884" s="237"/>
      <c r="AL884" s="232"/>
      <c r="AM884" s="237"/>
    </row>
    <row r="885" spans="1:39" ht="49.5">
      <c r="A885" s="34" t="s">
        <v>906</v>
      </c>
      <c r="E885" s="37" t="s">
        <v>906</v>
      </c>
      <c r="F885" s="37"/>
      <c r="G885" s="80" t="s">
        <v>409</v>
      </c>
      <c r="H885" s="80" t="s">
        <v>15</v>
      </c>
      <c r="I885" s="80" t="s">
        <v>16</v>
      </c>
      <c r="J885" s="81" t="s">
        <v>275</v>
      </c>
      <c r="K885" s="86" t="s">
        <v>18</v>
      </c>
      <c r="L885" s="336">
        <f t="shared" ref="L885:L895" si="177">SUM(M885:Q885)</f>
        <v>100000</v>
      </c>
      <c r="M885" s="337"/>
      <c r="N885" s="338">
        <v>100000</v>
      </c>
      <c r="O885" s="339"/>
      <c r="P885" s="339"/>
      <c r="Q885" s="339"/>
      <c r="R885" s="90"/>
      <c r="S885" s="6"/>
      <c r="T885" s="6"/>
      <c r="U885" s="6">
        <v>100000</v>
      </c>
      <c r="V885" s="10">
        <v>3</v>
      </c>
      <c r="W885" s="2"/>
      <c r="X885" s="2"/>
      <c r="Y885" s="2"/>
      <c r="Z885" s="2"/>
      <c r="AA885" s="2"/>
      <c r="AB885" s="2">
        <v>100000</v>
      </c>
      <c r="AC885" s="2"/>
      <c r="AD885" s="2"/>
      <c r="AE885" s="2"/>
      <c r="AF885" s="2"/>
      <c r="AG885" s="2"/>
      <c r="AH885" s="2"/>
      <c r="AI885" s="12"/>
      <c r="AJ885" s="90"/>
      <c r="AK885" s="90">
        <v>2021</v>
      </c>
      <c r="AL885" s="97"/>
      <c r="AM885" s="90"/>
    </row>
    <row r="886" spans="1:39" s="47" customFormat="1">
      <c r="A886" s="34" t="s">
        <v>906</v>
      </c>
      <c r="B886" s="32"/>
      <c r="C886" s="32"/>
      <c r="D886" s="32"/>
      <c r="E886" s="37" t="s">
        <v>906</v>
      </c>
      <c r="F886" s="37"/>
      <c r="G886" s="80" t="s">
        <v>1047</v>
      </c>
      <c r="H886" s="80" t="s">
        <v>224</v>
      </c>
      <c r="I886" s="80" t="s">
        <v>225</v>
      </c>
      <c r="J886" s="81" t="s">
        <v>226</v>
      </c>
      <c r="K886" s="86" t="s">
        <v>953</v>
      </c>
      <c r="L886" s="336">
        <f t="shared" si="177"/>
        <v>1000000</v>
      </c>
      <c r="M886" s="337"/>
      <c r="N886" s="338">
        <v>1000000</v>
      </c>
      <c r="O886" s="339"/>
      <c r="P886" s="339"/>
      <c r="Q886" s="339"/>
      <c r="R886" s="90"/>
      <c r="S886" s="64"/>
      <c r="T886" s="64"/>
      <c r="U886" s="64">
        <v>1000000</v>
      </c>
      <c r="V886" s="10"/>
      <c r="W886" s="2"/>
      <c r="X886" s="2"/>
      <c r="Y886" s="2"/>
      <c r="Z886" s="64">
        <v>1000000</v>
      </c>
      <c r="AA886" s="2"/>
      <c r="AB886" s="2"/>
      <c r="AC886" s="2"/>
      <c r="AD886" s="2"/>
      <c r="AE886" s="2"/>
      <c r="AF886" s="2"/>
      <c r="AG886" s="2"/>
      <c r="AH886" s="2"/>
      <c r="AI886" s="57"/>
      <c r="AJ886" s="90"/>
      <c r="AK886" s="90">
        <v>2021</v>
      </c>
      <c r="AL886" s="97"/>
      <c r="AM886" s="90"/>
    </row>
    <row r="887" spans="1:39" ht="66">
      <c r="A887" s="34" t="s">
        <v>906</v>
      </c>
      <c r="E887" s="37" t="s">
        <v>906</v>
      </c>
      <c r="F887" s="37"/>
      <c r="G887" s="80" t="s">
        <v>238</v>
      </c>
      <c r="H887" s="80" t="s">
        <v>188</v>
      </c>
      <c r="I887" s="80" t="s">
        <v>108</v>
      </c>
      <c r="J887" s="81" t="s">
        <v>186</v>
      </c>
      <c r="K887" s="86" t="s">
        <v>403</v>
      </c>
      <c r="L887" s="336">
        <f t="shared" si="177"/>
        <v>7000000</v>
      </c>
      <c r="M887" s="337"/>
      <c r="N887" s="338">
        <v>7000000</v>
      </c>
      <c r="O887" s="339"/>
      <c r="P887" s="339"/>
      <c r="Q887" s="339"/>
      <c r="R887" s="90"/>
      <c r="S887" s="6"/>
      <c r="T887" s="6"/>
      <c r="U887" s="6">
        <v>7000000</v>
      </c>
      <c r="V887" s="10" t="s">
        <v>408</v>
      </c>
      <c r="W887" s="2"/>
      <c r="X887" s="2">
        <v>254187.09999999998</v>
      </c>
      <c r="Y887" s="2">
        <v>1962178.9000000004</v>
      </c>
      <c r="Z887" s="2"/>
      <c r="AA887" s="2"/>
      <c r="AB887" s="2">
        <v>4783634</v>
      </c>
      <c r="AC887" s="2"/>
      <c r="AD887" s="2"/>
      <c r="AE887" s="2"/>
      <c r="AF887" s="2"/>
      <c r="AG887" s="2"/>
      <c r="AH887" s="2"/>
      <c r="AI887" s="12"/>
      <c r="AJ887" s="90">
        <v>100</v>
      </c>
      <c r="AK887" s="90" t="s">
        <v>271</v>
      </c>
      <c r="AL887" s="97"/>
      <c r="AM887" s="90"/>
    </row>
    <row r="888" spans="1:39" ht="33">
      <c r="A888" s="34" t="s">
        <v>906</v>
      </c>
      <c r="E888" s="37" t="s">
        <v>906</v>
      </c>
      <c r="F888" s="37"/>
      <c r="G888" s="80" t="s">
        <v>238</v>
      </c>
      <c r="H888" s="80" t="s">
        <v>188</v>
      </c>
      <c r="I888" s="80" t="s">
        <v>108</v>
      </c>
      <c r="J888" s="81" t="s">
        <v>186</v>
      </c>
      <c r="K888" s="86" t="s">
        <v>267</v>
      </c>
      <c r="L888" s="336">
        <f t="shared" si="177"/>
        <v>1499999.9999999998</v>
      </c>
      <c r="M888" s="337"/>
      <c r="N888" s="338">
        <v>1499999.9999999998</v>
      </c>
      <c r="O888" s="339"/>
      <c r="P888" s="339"/>
      <c r="Q888" s="339"/>
      <c r="R888" s="90"/>
      <c r="S888" s="6"/>
      <c r="T888" s="6"/>
      <c r="U888" s="6">
        <v>1499999.9999999998</v>
      </c>
      <c r="V888" s="10">
        <v>1.3</v>
      </c>
      <c r="W888" s="2"/>
      <c r="X888" s="2">
        <v>264761.05</v>
      </c>
      <c r="Y888" s="2"/>
      <c r="Z888" s="2"/>
      <c r="AA888" s="2"/>
      <c r="AB888" s="2">
        <v>1235238.95</v>
      </c>
      <c r="AC888" s="2"/>
      <c r="AD888" s="2"/>
      <c r="AE888" s="2"/>
      <c r="AF888" s="2"/>
      <c r="AG888" s="2"/>
      <c r="AH888" s="2"/>
      <c r="AI888" s="12"/>
      <c r="AJ888" s="90">
        <v>100</v>
      </c>
      <c r="AK888" s="90" t="s">
        <v>271</v>
      </c>
      <c r="AL888" s="97"/>
      <c r="AM888" s="90"/>
    </row>
    <row r="889" spans="1:39" ht="66">
      <c r="A889" s="34" t="s">
        <v>906</v>
      </c>
      <c r="E889" s="37" t="s">
        <v>906</v>
      </c>
      <c r="F889" s="37"/>
      <c r="G889" s="80" t="s">
        <v>238</v>
      </c>
      <c r="H889" s="80" t="s">
        <v>188</v>
      </c>
      <c r="I889" s="80" t="s">
        <v>108</v>
      </c>
      <c r="J889" s="81" t="s">
        <v>186</v>
      </c>
      <c r="K889" s="86" t="s">
        <v>268</v>
      </c>
      <c r="L889" s="336">
        <f t="shared" si="177"/>
        <v>300000</v>
      </c>
      <c r="M889" s="337"/>
      <c r="N889" s="338">
        <v>300000</v>
      </c>
      <c r="O889" s="339"/>
      <c r="P889" s="339"/>
      <c r="Q889" s="339"/>
      <c r="R889" s="90"/>
      <c r="S889" s="6"/>
      <c r="T889" s="6"/>
      <c r="U889" s="6">
        <v>300000</v>
      </c>
      <c r="V889" s="10">
        <v>3</v>
      </c>
      <c r="W889" s="2"/>
      <c r="X889" s="2"/>
      <c r="Y889" s="2"/>
      <c r="Z889" s="2"/>
      <c r="AA889" s="2"/>
      <c r="AB889" s="2">
        <v>300000</v>
      </c>
      <c r="AC889" s="2"/>
      <c r="AD889" s="2"/>
      <c r="AE889" s="2"/>
      <c r="AF889" s="2"/>
      <c r="AG889" s="2"/>
      <c r="AH889" s="2"/>
      <c r="AI889" s="12"/>
      <c r="AJ889" s="90">
        <v>100</v>
      </c>
      <c r="AK889" s="90">
        <v>2021</v>
      </c>
      <c r="AL889" s="97"/>
      <c r="AM889" s="90"/>
    </row>
    <row r="890" spans="1:39" ht="33">
      <c r="A890" s="34" t="s">
        <v>906</v>
      </c>
      <c r="E890" s="37" t="s">
        <v>906</v>
      </c>
      <c r="F890" s="37"/>
      <c r="G890" s="80" t="s">
        <v>238</v>
      </c>
      <c r="H890" s="80" t="s">
        <v>188</v>
      </c>
      <c r="I890" s="80" t="s">
        <v>108</v>
      </c>
      <c r="J890" s="81" t="s">
        <v>186</v>
      </c>
      <c r="K890" s="86" t="s">
        <v>270</v>
      </c>
      <c r="L890" s="336">
        <f t="shared" si="177"/>
        <v>1322700</v>
      </c>
      <c r="M890" s="337"/>
      <c r="N890" s="338">
        <v>1322700</v>
      </c>
      <c r="O890" s="339"/>
      <c r="P890" s="339"/>
      <c r="Q890" s="339"/>
      <c r="R890" s="90"/>
      <c r="S890" s="6"/>
      <c r="T890" s="6"/>
      <c r="U890" s="6">
        <v>1322700</v>
      </c>
      <c r="V890" s="10">
        <v>1.3</v>
      </c>
      <c r="W890" s="2"/>
      <c r="X890" s="2">
        <v>322700</v>
      </c>
      <c r="Y890" s="2"/>
      <c r="Z890" s="2"/>
      <c r="AA890" s="2"/>
      <c r="AB890" s="2">
        <v>1000000</v>
      </c>
      <c r="AC890" s="2"/>
      <c r="AD890" s="2"/>
      <c r="AE890" s="2"/>
      <c r="AF890" s="2"/>
      <c r="AG890" s="2"/>
      <c r="AH890" s="2"/>
      <c r="AI890" s="12"/>
      <c r="AJ890" s="90">
        <v>100</v>
      </c>
      <c r="AK890" s="90">
        <v>2021</v>
      </c>
      <c r="AL890" s="97"/>
      <c r="AM890" s="90"/>
    </row>
    <row r="891" spans="1:39" ht="33">
      <c r="A891" s="34" t="s">
        <v>906</v>
      </c>
      <c r="E891" s="37" t="s">
        <v>906</v>
      </c>
      <c r="F891" s="37"/>
      <c r="G891" s="80" t="s">
        <v>238</v>
      </c>
      <c r="H891" s="80" t="s">
        <v>188</v>
      </c>
      <c r="I891" s="80" t="s">
        <v>108</v>
      </c>
      <c r="J891" s="81" t="s">
        <v>186</v>
      </c>
      <c r="K891" s="86" t="s">
        <v>863</v>
      </c>
      <c r="L891" s="336">
        <f t="shared" si="177"/>
        <v>83000</v>
      </c>
      <c r="M891" s="337"/>
      <c r="N891" s="338">
        <v>83000</v>
      </c>
      <c r="O891" s="339"/>
      <c r="P891" s="339"/>
      <c r="Q891" s="339"/>
      <c r="R891" s="90"/>
      <c r="S891" s="6"/>
      <c r="T891" s="6"/>
      <c r="U891" s="6">
        <v>83000</v>
      </c>
      <c r="V891" s="10">
        <v>3</v>
      </c>
      <c r="W891" s="2"/>
      <c r="X891" s="2"/>
      <c r="Y891" s="2"/>
      <c r="Z891" s="2"/>
      <c r="AA891" s="2"/>
      <c r="AB891" s="2">
        <v>83000</v>
      </c>
      <c r="AC891" s="2"/>
      <c r="AD891" s="2"/>
      <c r="AE891" s="2"/>
      <c r="AF891" s="2"/>
      <c r="AG891" s="2"/>
      <c r="AH891" s="2"/>
      <c r="AI891" s="12"/>
      <c r="AJ891" s="90">
        <v>100</v>
      </c>
      <c r="AK891" s="90">
        <v>2021</v>
      </c>
      <c r="AL891" s="97">
        <v>83000</v>
      </c>
      <c r="AM891" s="90"/>
    </row>
    <row r="892" spans="1:39" ht="33">
      <c r="A892" s="34" t="s">
        <v>906</v>
      </c>
      <c r="E892" s="37" t="s">
        <v>906</v>
      </c>
      <c r="F892" s="37"/>
      <c r="G892" s="80" t="s">
        <v>238</v>
      </c>
      <c r="H892" s="80" t="s">
        <v>188</v>
      </c>
      <c r="I892" s="80" t="s">
        <v>108</v>
      </c>
      <c r="J892" s="81" t="s">
        <v>186</v>
      </c>
      <c r="K892" s="86" t="s">
        <v>864</v>
      </c>
      <c r="L892" s="336">
        <f t="shared" si="177"/>
        <v>387000</v>
      </c>
      <c r="M892" s="337"/>
      <c r="N892" s="338">
        <v>387000</v>
      </c>
      <c r="O892" s="339"/>
      <c r="P892" s="339"/>
      <c r="Q892" s="339"/>
      <c r="R892" s="90"/>
      <c r="S892" s="6"/>
      <c r="T892" s="6"/>
      <c r="U892" s="6">
        <v>387000</v>
      </c>
      <c r="V892" s="10">
        <v>3</v>
      </c>
      <c r="W892" s="2"/>
      <c r="X892" s="2"/>
      <c r="Y892" s="2"/>
      <c r="Z892" s="2"/>
      <c r="AA892" s="2"/>
      <c r="AB892" s="2">
        <v>387000</v>
      </c>
      <c r="AC892" s="2"/>
      <c r="AD892" s="2"/>
      <c r="AE892" s="2"/>
      <c r="AF892" s="2"/>
      <c r="AG892" s="2"/>
      <c r="AH892" s="2"/>
      <c r="AI892" s="12"/>
      <c r="AJ892" s="90">
        <v>100</v>
      </c>
      <c r="AK892" s="90">
        <v>2021</v>
      </c>
      <c r="AL892" s="97">
        <v>387000</v>
      </c>
      <c r="AM892" s="90"/>
    </row>
    <row r="893" spans="1:39" ht="33">
      <c r="A893" s="34" t="s">
        <v>906</v>
      </c>
      <c r="E893" s="37" t="s">
        <v>906</v>
      </c>
      <c r="F893" s="37"/>
      <c r="G893" s="80" t="s">
        <v>410</v>
      </c>
      <c r="H893" s="80" t="s">
        <v>107</v>
      </c>
      <c r="I893" s="80" t="s">
        <v>108</v>
      </c>
      <c r="J893" s="81" t="s">
        <v>280</v>
      </c>
      <c r="K893" s="86" t="s">
        <v>411</v>
      </c>
      <c r="L893" s="336">
        <f t="shared" si="177"/>
        <v>1000000</v>
      </c>
      <c r="M893" s="337"/>
      <c r="N893" s="338">
        <v>1000000</v>
      </c>
      <c r="O893" s="339"/>
      <c r="P893" s="339"/>
      <c r="Q893" s="339"/>
      <c r="R893" s="90"/>
      <c r="S893" s="6"/>
      <c r="T893" s="6"/>
      <c r="U893" s="6">
        <v>1000000</v>
      </c>
      <c r="V893" s="10">
        <v>3</v>
      </c>
      <c r="W893" s="2"/>
      <c r="X893" s="2"/>
      <c r="Y893" s="2"/>
      <c r="Z893" s="2"/>
      <c r="AA893" s="2"/>
      <c r="AB893" s="2">
        <v>1000000</v>
      </c>
      <c r="AC893" s="2"/>
      <c r="AD893" s="2"/>
      <c r="AE893" s="2"/>
      <c r="AF893" s="2"/>
      <c r="AG893" s="2"/>
      <c r="AH893" s="2"/>
      <c r="AI893" s="12"/>
      <c r="AJ893" s="90">
        <v>100</v>
      </c>
      <c r="AK893" s="90">
        <v>2021</v>
      </c>
      <c r="AL893" s="97">
        <v>1000000</v>
      </c>
      <c r="AM893" s="90"/>
    </row>
    <row r="894" spans="1:39" ht="33">
      <c r="A894" s="34" t="s">
        <v>906</v>
      </c>
      <c r="E894" s="37" t="s">
        <v>906</v>
      </c>
      <c r="F894" s="37"/>
      <c r="G894" s="80" t="s">
        <v>1019</v>
      </c>
      <c r="H894" s="80" t="s">
        <v>1008</v>
      </c>
      <c r="I894" s="80" t="s">
        <v>1009</v>
      </c>
      <c r="J894" s="81" t="s">
        <v>1007</v>
      </c>
      <c r="K894" s="86" t="s">
        <v>412</v>
      </c>
      <c r="L894" s="336">
        <f t="shared" si="177"/>
        <v>6650000</v>
      </c>
      <c r="M894" s="337"/>
      <c r="N894" s="338">
        <f>4650000+2000000</f>
        <v>6650000</v>
      </c>
      <c r="O894" s="339"/>
      <c r="P894" s="339"/>
      <c r="Q894" s="339"/>
      <c r="R894" s="90"/>
      <c r="S894" s="64"/>
      <c r="T894" s="64"/>
      <c r="U894" s="64">
        <f>4650000+2000000</f>
        <v>6650000</v>
      </c>
      <c r="V894" s="10" t="s">
        <v>408</v>
      </c>
      <c r="W894" s="2"/>
      <c r="X894" s="2">
        <v>569128.14</v>
      </c>
      <c r="Y894" s="2">
        <v>10066.859999999986</v>
      </c>
      <c r="Z894" s="2">
        <v>2000000</v>
      </c>
      <c r="AA894" s="2"/>
      <c r="AB894" s="2">
        <v>4070805</v>
      </c>
      <c r="AC894" s="2"/>
      <c r="AD894" s="2"/>
      <c r="AE894" s="2"/>
      <c r="AF894" s="2"/>
      <c r="AG894" s="2"/>
      <c r="AH894" s="2"/>
      <c r="AI894" s="12"/>
      <c r="AJ894" s="90">
        <v>100</v>
      </c>
      <c r="AK894" s="90" t="s">
        <v>271</v>
      </c>
      <c r="AL894" s="97"/>
      <c r="AM894" s="90"/>
    </row>
    <row r="895" spans="1:39" ht="33">
      <c r="A895" s="34" t="s">
        <v>906</v>
      </c>
      <c r="E895" s="37" t="s">
        <v>906</v>
      </c>
      <c r="F895" s="37"/>
      <c r="G895" s="80" t="s">
        <v>1019</v>
      </c>
      <c r="H895" s="80" t="s">
        <v>1008</v>
      </c>
      <c r="I895" s="80" t="s">
        <v>1009</v>
      </c>
      <c r="J895" s="81" t="s">
        <v>1007</v>
      </c>
      <c r="K895" s="86" t="s">
        <v>407</v>
      </c>
      <c r="L895" s="336">
        <f t="shared" si="177"/>
        <v>18657300</v>
      </c>
      <c r="M895" s="337">
        <v>5000000</v>
      </c>
      <c r="N895" s="338">
        <v>13657300</v>
      </c>
      <c r="O895" s="339"/>
      <c r="P895" s="339"/>
      <c r="Q895" s="339"/>
      <c r="R895" s="90"/>
      <c r="S895" s="6"/>
      <c r="T895" s="6"/>
      <c r="U895" s="6">
        <v>13657300</v>
      </c>
      <c r="V895" s="10" t="s">
        <v>408</v>
      </c>
      <c r="W895" s="2"/>
      <c r="X895" s="2">
        <v>893654.40999999992</v>
      </c>
      <c r="Y895" s="2">
        <v>6641698.5899999999</v>
      </c>
      <c r="Z895" s="2"/>
      <c r="AA895" s="2"/>
      <c r="AB895" s="2">
        <v>6121947</v>
      </c>
      <c r="AC895" s="2"/>
      <c r="AD895" s="2"/>
      <c r="AE895" s="2"/>
      <c r="AF895" s="2"/>
      <c r="AG895" s="2"/>
      <c r="AH895" s="2"/>
      <c r="AI895" s="12"/>
      <c r="AJ895" s="90">
        <v>100</v>
      </c>
      <c r="AK895" s="90" t="s">
        <v>271</v>
      </c>
      <c r="AL895" s="97"/>
      <c r="AM895" s="90"/>
    </row>
    <row r="896" spans="1:39" s="233" customFormat="1" ht="33">
      <c r="A896" s="193"/>
      <c r="B896" s="234"/>
      <c r="C896" s="234"/>
      <c r="D896" s="234"/>
      <c r="E896" s="225"/>
      <c r="F896" s="225" t="s">
        <v>8</v>
      </c>
      <c r="G896" s="220"/>
      <c r="H896" s="220"/>
      <c r="I896" s="220"/>
      <c r="J896" s="209" t="s">
        <v>1401</v>
      </c>
      <c r="K896" s="201"/>
      <c r="L896" s="287">
        <f>L897+L900+L905+L910+L913</f>
        <v>146994100</v>
      </c>
      <c r="M896" s="288">
        <f>M897+M900+M905+M910+M913</f>
        <v>146994100</v>
      </c>
      <c r="N896" s="289">
        <f t="shared" ref="N896:Q896" si="178">N897+N900+N905+N910+N913</f>
        <v>0</v>
      </c>
      <c r="O896" s="289">
        <f t="shared" si="178"/>
        <v>0</v>
      </c>
      <c r="P896" s="289">
        <f t="shared" si="178"/>
        <v>0</v>
      </c>
      <c r="Q896" s="289">
        <f t="shared" si="178"/>
        <v>0</v>
      </c>
      <c r="R896" s="187">
        <f t="shared" ref="R896:R898" si="179">L896-M896-N896-O896-P896-Q896</f>
        <v>0</v>
      </c>
      <c r="S896" s="235"/>
      <c r="T896" s="235"/>
      <c r="U896" s="235"/>
      <c r="V896" s="200"/>
      <c r="W896" s="199"/>
      <c r="X896" s="199"/>
      <c r="Y896" s="199"/>
      <c r="Z896" s="199"/>
      <c r="AA896" s="199"/>
      <c r="AB896" s="199"/>
      <c r="AC896" s="199"/>
      <c r="AD896" s="199"/>
      <c r="AE896" s="199"/>
      <c r="AF896" s="199"/>
      <c r="AG896" s="199"/>
      <c r="AH896" s="199"/>
      <c r="AI896" s="231"/>
      <c r="AJ896" s="187">
        <f>AJ897+AJ900+AJ905+AJ910+AJ913</f>
        <v>900</v>
      </c>
      <c r="AK896" s="238"/>
      <c r="AL896" s="232"/>
      <c r="AM896" s="232"/>
    </row>
    <row r="897" spans="1:39" s="233" customFormat="1">
      <c r="A897" s="193" t="s">
        <v>1116</v>
      </c>
      <c r="B897" s="181" t="s">
        <v>193</v>
      </c>
      <c r="C897" s="181"/>
      <c r="D897" s="181"/>
      <c r="E897" s="182" t="s">
        <v>1225</v>
      </c>
      <c r="F897" s="225" t="s">
        <v>8</v>
      </c>
      <c r="G897" s="183" t="s">
        <v>19</v>
      </c>
      <c r="H897" s="183"/>
      <c r="I897" s="183"/>
      <c r="J897" s="184" t="s">
        <v>34</v>
      </c>
      <c r="K897" s="185"/>
      <c r="L897" s="287">
        <f>SUM(L899:L899)</f>
        <v>5445258</v>
      </c>
      <c r="M897" s="288">
        <f>SUM(M899:M899)</f>
        <v>5445258</v>
      </c>
      <c r="N897" s="289">
        <f t="shared" ref="N897:Q897" si="180">SUM(N899:N899)</f>
        <v>0</v>
      </c>
      <c r="O897" s="289">
        <f t="shared" si="180"/>
        <v>0</v>
      </c>
      <c r="P897" s="289">
        <f t="shared" si="180"/>
        <v>0</v>
      </c>
      <c r="Q897" s="289">
        <f t="shared" si="180"/>
        <v>0</v>
      </c>
      <c r="R897" s="187">
        <f t="shared" si="179"/>
        <v>0</v>
      </c>
      <c r="S897" s="235"/>
      <c r="T897" s="235"/>
      <c r="U897" s="235"/>
      <c r="V897" s="200"/>
      <c r="W897" s="199"/>
      <c r="X897" s="199"/>
      <c r="Y897" s="199"/>
      <c r="Z897" s="199"/>
      <c r="AA897" s="199"/>
      <c r="AB897" s="199"/>
      <c r="AC897" s="199"/>
      <c r="AD897" s="199"/>
      <c r="AE897" s="199"/>
      <c r="AF897" s="199"/>
      <c r="AG897" s="199"/>
      <c r="AH897" s="199"/>
      <c r="AI897" s="231"/>
      <c r="AJ897" s="187">
        <f>SUM(AJ899:AJ899)</f>
        <v>100</v>
      </c>
      <c r="AK897" s="185"/>
      <c r="AL897" s="196"/>
      <c r="AM897" s="197"/>
    </row>
    <row r="898" spans="1:39" s="233" customFormat="1">
      <c r="A898" s="193" t="s">
        <v>1116</v>
      </c>
      <c r="B898" s="193"/>
      <c r="C898" s="193"/>
      <c r="D898" s="193"/>
      <c r="E898" s="182" t="s">
        <v>1225</v>
      </c>
      <c r="F898" s="225" t="s">
        <v>8</v>
      </c>
      <c r="G898" s="183" t="s">
        <v>21</v>
      </c>
      <c r="H898" s="183"/>
      <c r="I898" s="183"/>
      <c r="J898" s="190" t="s">
        <v>34</v>
      </c>
      <c r="K898" s="201"/>
      <c r="L898" s="331"/>
      <c r="M898" s="332"/>
      <c r="N898" s="333"/>
      <c r="O898" s="340"/>
      <c r="P898" s="340"/>
      <c r="Q898" s="340"/>
      <c r="R898" s="187">
        <f t="shared" si="179"/>
        <v>0</v>
      </c>
      <c r="S898" s="235"/>
      <c r="T898" s="235"/>
      <c r="U898" s="235"/>
      <c r="V898" s="200"/>
      <c r="W898" s="199"/>
      <c r="X898" s="199"/>
      <c r="Y898" s="199"/>
      <c r="Z898" s="199"/>
      <c r="AA898" s="199"/>
      <c r="AB898" s="199"/>
      <c r="AC898" s="199"/>
      <c r="AD898" s="199"/>
      <c r="AE898" s="199"/>
      <c r="AF898" s="199"/>
      <c r="AG898" s="199"/>
      <c r="AH898" s="199"/>
      <c r="AI898" s="231"/>
      <c r="AJ898" s="185"/>
      <c r="AK898" s="185"/>
      <c r="AL898" s="196"/>
      <c r="AM898" s="197"/>
    </row>
    <row r="899" spans="1:39" s="47" customFormat="1">
      <c r="A899" s="72" t="s">
        <v>1116</v>
      </c>
      <c r="B899" s="72"/>
      <c r="C899" s="72"/>
      <c r="D899" s="72"/>
      <c r="E899" s="120" t="s">
        <v>1469</v>
      </c>
      <c r="F899" s="225" t="s">
        <v>8</v>
      </c>
      <c r="G899" s="263" t="s">
        <v>29</v>
      </c>
      <c r="H899" s="263">
        <v>7670</v>
      </c>
      <c r="I899" s="263" t="s">
        <v>31</v>
      </c>
      <c r="J899" s="264" t="s">
        <v>32</v>
      </c>
      <c r="K899" s="265" t="s">
        <v>36</v>
      </c>
      <c r="L899" s="341">
        <f>SUM(M899:Q899)</f>
        <v>5445258</v>
      </c>
      <c r="M899" s="342">
        <v>5445258</v>
      </c>
      <c r="N899" s="343"/>
      <c r="O899" s="344"/>
      <c r="P899" s="344"/>
      <c r="Q899" s="344"/>
      <c r="R899" s="90"/>
      <c r="S899" s="6"/>
      <c r="T899" s="6"/>
      <c r="U899" s="6"/>
      <c r="V899" s="10"/>
      <c r="W899" s="68"/>
      <c r="X899" s="68"/>
      <c r="Y899" s="68"/>
      <c r="Z899" s="68"/>
      <c r="AA899" s="68"/>
      <c r="AB899" s="68"/>
      <c r="AC899" s="68"/>
      <c r="AD899" s="68"/>
      <c r="AE899" s="68"/>
      <c r="AF899" s="68"/>
      <c r="AG899" s="68"/>
      <c r="AH899" s="68"/>
      <c r="AI899" s="57"/>
      <c r="AJ899" s="156">
        <v>100</v>
      </c>
      <c r="AK899" s="156">
        <v>2021</v>
      </c>
      <c r="AL899" s="158"/>
      <c r="AM899" s="70"/>
    </row>
    <row r="900" spans="1:39" s="233" customFormat="1">
      <c r="A900" s="193" t="s">
        <v>878</v>
      </c>
      <c r="B900" s="181" t="s">
        <v>193</v>
      </c>
      <c r="C900" s="181"/>
      <c r="D900" s="181"/>
      <c r="E900" s="182"/>
      <c r="F900" s="225" t="s">
        <v>8</v>
      </c>
      <c r="G900" s="183" t="s">
        <v>47</v>
      </c>
      <c r="H900" s="183"/>
      <c r="I900" s="183"/>
      <c r="J900" s="184" t="s">
        <v>48</v>
      </c>
      <c r="K900" s="201"/>
      <c r="L900" s="287">
        <f>SUM(L902:L904)</f>
        <v>22380268</v>
      </c>
      <c r="M900" s="288">
        <f>SUM(M902:M904)</f>
        <v>22380268</v>
      </c>
      <c r="N900" s="289">
        <f t="shared" ref="N900:Q900" si="181">SUM(N902:N904)</f>
        <v>0</v>
      </c>
      <c r="O900" s="289">
        <f t="shared" si="181"/>
        <v>0</v>
      </c>
      <c r="P900" s="289">
        <f t="shared" si="181"/>
        <v>0</v>
      </c>
      <c r="Q900" s="289">
        <f t="shared" si="181"/>
        <v>0</v>
      </c>
      <c r="R900" s="187">
        <f t="shared" ref="R900:R901" si="182">L900-M900-N900-O900-P900-Q900</f>
        <v>0</v>
      </c>
      <c r="S900" s="235"/>
      <c r="T900" s="235"/>
      <c r="U900" s="235"/>
      <c r="V900" s="200"/>
      <c r="W900" s="199"/>
      <c r="X900" s="199"/>
      <c r="Y900" s="199"/>
      <c r="Z900" s="199"/>
      <c r="AA900" s="199"/>
      <c r="AB900" s="199"/>
      <c r="AC900" s="199"/>
      <c r="AD900" s="199"/>
      <c r="AE900" s="199"/>
      <c r="AF900" s="199"/>
      <c r="AG900" s="199"/>
      <c r="AH900" s="199"/>
      <c r="AI900" s="231"/>
      <c r="AJ900" s="187">
        <f>SUM(AJ902:AJ904)</f>
        <v>300</v>
      </c>
      <c r="AK900" s="185"/>
      <c r="AL900" s="196"/>
      <c r="AM900" s="197"/>
    </row>
    <row r="901" spans="1:39" s="233" customFormat="1">
      <c r="A901" s="193" t="s">
        <v>878</v>
      </c>
      <c r="B901" s="193"/>
      <c r="C901" s="193"/>
      <c r="D901" s="193"/>
      <c r="E901" s="182"/>
      <c r="F901" s="225" t="s">
        <v>8</v>
      </c>
      <c r="G901" s="183" t="s">
        <v>49</v>
      </c>
      <c r="H901" s="183"/>
      <c r="I901" s="183"/>
      <c r="J901" s="190" t="s">
        <v>48</v>
      </c>
      <c r="K901" s="201"/>
      <c r="L901" s="331"/>
      <c r="M901" s="332"/>
      <c r="N901" s="333"/>
      <c r="O901" s="340"/>
      <c r="P901" s="340"/>
      <c r="Q901" s="340"/>
      <c r="R901" s="187">
        <f t="shared" si="182"/>
        <v>0</v>
      </c>
      <c r="S901" s="235"/>
      <c r="T901" s="235"/>
      <c r="U901" s="235"/>
      <c r="V901" s="200"/>
      <c r="W901" s="199"/>
      <c r="X901" s="199"/>
      <c r="Y901" s="199"/>
      <c r="Z901" s="199"/>
      <c r="AA901" s="199"/>
      <c r="AB901" s="199"/>
      <c r="AC901" s="199"/>
      <c r="AD901" s="199"/>
      <c r="AE901" s="199"/>
      <c r="AF901" s="199"/>
      <c r="AG901" s="199"/>
      <c r="AH901" s="199"/>
      <c r="AI901" s="231"/>
      <c r="AJ901" s="185"/>
      <c r="AK901" s="185"/>
      <c r="AL901" s="196"/>
      <c r="AM901" s="197"/>
    </row>
    <row r="902" spans="1:39" s="47" customFormat="1" ht="33">
      <c r="A902" s="72" t="s">
        <v>878</v>
      </c>
      <c r="B902" s="72"/>
      <c r="C902" s="72" t="s">
        <v>1181</v>
      </c>
      <c r="D902" s="72" t="s">
        <v>1203</v>
      </c>
      <c r="E902" s="120" t="s">
        <v>905</v>
      </c>
      <c r="F902" s="225" t="s">
        <v>8</v>
      </c>
      <c r="G902" s="266" t="s">
        <v>50</v>
      </c>
      <c r="H902" s="266" t="s">
        <v>30</v>
      </c>
      <c r="I902" s="266" t="s">
        <v>31</v>
      </c>
      <c r="J902" s="267" t="s">
        <v>32</v>
      </c>
      <c r="K902" s="265" t="s">
        <v>1402</v>
      </c>
      <c r="L902" s="341">
        <f>SUM(M902:Q902)</f>
        <v>12125544</v>
      </c>
      <c r="M902" s="342">
        <v>12125544</v>
      </c>
      <c r="N902" s="343"/>
      <c r="O902" s="344"/>
      <c r="P902" s="344"/>
      <c r="Q902" s="344"/>
      <c r="R902" s="90"/>
      <c r="S902" s="6"/>
      <c r="T902" s="6"/>
      <c r="U902" s="6"/>
      <c r="V902" s="10"/>
      <c r="W902" s="68"/>
      <c r="X902" s="68"/>
      <c r="Y902" s="68"/>
      <c r="Z902" s="68"/>
      <c r="AA902" s="68"/>
      <c r="AB902" s="68"/>
      <c r="AC902" s="68"/>
      <c r="AD902" s="68"/>
      <c r="AE902" s="68"/>
      <c r="AF902" s="68"/>
      <c r="AG902" s="68"/>
      <c r="AH902" s="68"/>
      <c r="AI902" s="57"/>
      <c r="AJ902" s="167">
        <v>100</v>
      </c>
      <c r="AK902" s="156">
        <v>2021</v>
      </c>
      <c r="AL902" s="70">
        <v>15520000</v>
      </c>
      <c r="AM902" s="159"/>
    </row>
    <row r="903" spans="1:39" s="47" customFormat="1" ht="33">
      <c r="A903" s="72" t="s">
        <v>878</v>
      </c>
      <c r="B903" s="72"/>
      <c r="C903" s="72" t="s">
        <v>1181</v>
      </c>
      <c r="D903" s="72" t="s">
        <v>1199</v>
      </c>
      <c r="E903" s="120" t="s">
        <v>905</v>
      </c>
      <c r="F903" s="225" t="s">
        <v>8</v>
      </c>
      <c r="G903" s="266" t="s">
        <v>50</v>
      </c>
      <c r="H903" s="266" t="s">
        <v>30</v>
      </c>
      <c r="I903" s="266" t="s">
        <v>31</v>
      </c>
      <c r="J903" s="267" t="s">
        <v>32</v>
      </c>
      <c r="K903" s="265" t="s">
        <v>51</v>
      </c>
      <c r="L903" s="341">
        <f>SUM(M903:Q903)</f>
        <v>4844564</v>
      </c>
      <c r="M903" s="342">
        <v>4844564</v>
      </c>
      <c r="N903" s="343"/>
      <c r="O903" s="344"/>
      <c r="P903" s="344"/>
      <c r="Q903" s="344"/>
      <c r="R903" s="90"/>
      <c r="S903" s="6"/>
      <c r="T903" s="6"/>
      <c r="U903" s="6"/>
      <c r="V903" s="10"/>
      <c r="W903" s="68"/>
      <c r="X903" s="68"/>
      <c r="Y903" s="68"/>
      <c r="Z903" s="68"/>
      <c r="AA903" s="68"/>
      <c r="AB903" s="68"/>
      <c r="AC903" s="68"/>
      <c r="AD903" s="68"/>
      <c r="AE903" s="68"/>
      <c r="AF903" s="68"/>
      <c r="AG903" s="68"/>
      <c r="AH903" s="68"/>
      <c r="AI903" s="57"/>
      <c r="AJ903" s="167">
        <v>100</v>
      </c>
      <c r="AK903" s="156">
        <v>2021</v>
      </c>
      <c r="AL903" s="70">
        <v>6603700</v>
      </c>
      <c r="AM903" s="159"/>
    </row>
    <row r="904" spans="1:39" s="47" customFormat="1" ht="33">
      <c r="A904" s="72" t="s">
        <v>878</v>
      </c>
      <c r="B904" s="72"/>
      <c r="C904" s="72" t="s">
        <v>1181</v>
      </c>
      <c r="D904" s="72" t="s">
        <v>1202</v>
      </c>
      <c r="E904" s="120" t="s">
        <v>906</v>
      </c>
      <c r="F904" s="225" t="s">
        <v>8</v>
      </c>
      <c r="G904" s="266" t="s">
        <v>50</v>
      </c>
      <c r="H904" s="266" t="s">
        <v>30</v>
      </c>
      <c r="I904" s="266" t="s">
        <v>31</v>
      </c>
      <c r="J904" s="267" t="s">
        <v>32</v>
      </c>
      <c r="K904" s="265" t="s">
        <v>1077</v>
      </c>
      <c r="L904" s="341">
        <f>SUM(M904:Q904)</f>
        <v>5410160</v>
      </c>
      <c r="M904" s="342">
        <v>5410160</v>
      </c>
      <c r="N904" s="343"/>
      <c r="O904" s="344"/>
      <c r="P904" s="344"/>
      <c r="Q904" s="344"/>
      <c r="R904" s="90"/>
      <c r="S904" s="6"/>
      <c r="T904" s="6"/>
      <c r="U904" s="6"/>
      <c r="V904" s="10"/>
      <c r="W904" s="68"/>
      <c r="X904" s="68"/>
      <c r="Y904" s="68"/>
      <c r="Z904" s="68"/>
      <c r="AA904" s="68"/>
      <c r="AB904" s="68"/>
      <c r="AC904" s="68"/>
      <c r="AD904" s="68"/>
      <c r="AE904" s="68"/>
      <c r="AF904" s="68"/>
      <c r="AG904" s="68"/>
      <c r="AH904" s="68"/>
      <c r="AI904" s="57"/>
      <c r="AJ904" s="167">
        <v>100</v>
      </c>
      <c r="AK904" s="156">
        <v>2021</v>
      </c>
      <c r="AL904" s="70">
        <v>6982000</v>
      </c>
      <c r="AM904" s="159"/>
    </row>
    <row r="905" spans="1:39" s="233" customFormat="1" ht="33">
      <c r="A905" s="193" t="s">
        <v>666</v>
      </c>
      <c r="B905" s="181" t="s">
        <v>193</v>
      </c>
      <c r="C905" s="181"/>
      <c r="D905" s="181"/>
      <c r="E905" s="182"/>
      <c r="F905" s="225" t="s">
        <v>8</v>
      </c>
      <c r="G905" s="183" t="s">
        <v>65</v>
      </c>
      <c r="H905" s="183"/>
      <c r="I905" s="183"/>
      <c r="J905" s="184" t="s">
        <v>66</v>
      </c>
      <c r="K905" s="201"/>
      <c r="L905" s="287">
        <f>SUM(L907:L909)</f>
        <v>34858990</v>
      </c>
      <c r="M905" s="288">
        <f>SUM(M907:M909)</f>
        <v>34858990</v>
      </c>
      <c r="N905" s="289">
        <f t="shared" ref="N905:Q905" si="183">SUM(N907:N909)</f>
        <v>0</v>
      </c>
      <c r="O905" s="289">
        <f t="shared" si="183"/>
        <v>0</v>
      </c>
      <c r="P905" s="289">
        <f t="shared" si="183"/>
        <v>0</v>
      </c>
      <c r="Q905" s="289">
        <f t="shared" si="183"/>
        <v>0</v>
      </c>
      <c r="R905" s="187">
        <f t="shared" ref="R905:R906" si="184">L905-M905-N905-O905-P905-Q905</f>
        <v>0</v>
      </c>
      <c r="S905" s="235"/>
      <c r="T905" s="235"/>
      <c r="U905" s="235"/>
      <c r="V905" s="200"/>
      <c r="W905" s="199"/>
      <c r="X905" s="199"/>
      <c r="Y905" s="199"/>
      <c r="Z905" s="199"/>
      <c r="AA905" s="199"/>
      <c r="AB905" s="199"/>
      <c r="AC905" s="199"/>
      <c r="AD905" s="199"/>
      <c r="AE905" s="199"/>
      <c r="AF905" s="199"/>
      <c r="AG905" s="199"/>
      <c r="AH905" s="199"/>
      <c r="AI905" s="231"/>
      <c r="AJ905" s="187">
        <f>SUM(AJ907:AJ909)</f>
        <v>300</v>
      </c>
      <c r="AK905" s="185"/>
      <c r="AL905" s="196"/>
      <c r="AM905" s="186"/>
    </row>
    <row r="906" spans="1:39" s="233" customFormat="1" ht="33">
      <c r="A906" s="193" t="s">
        <v>666</v>
      </c>
      <c r="B906" s="193"/>
      <c r="C906" s="193"/>
      <c r="D906" s="193"/>
      <c r="E906" s="182"/>
      <c r="F906" s="225" t="s">
        <v>8</v>
      </c>
      <c r="G906" s="183" t="s">
        <v>67</v>
      </c>
      <c r="H906" s="183"/>
      <c r="I906" s="183"/>
      <c r="J906" s="190" t="s">
        <v>66</v>
      </c>
      <c r="K906" s="201"/>
      <c r="L906" s="331"/>
      <c r="M906" s="332"/>
      <c r="N906" s="333"/>
      <c r="O906" s="340"/>
      <c r="P906" s="340"/>
      <c r="Q906" s="340"/>
      <c r="R906" s="187">
        <f t="shared" si="184"/>
        <v>0</v>
      </c>
      <c r="S906" s="235"/>
      <c r="T906" s="235"/>
      <c r="U906" s="235"/>
      <c r="V906" s="200"/>
      <c r="W906" s="199"/>
      <c r="X906" s="199"/>
      <c r="Y906" s="199"/>
      <c r="Z906" s="199"/>
      <c r="AA906" s="199"/>
      <c r="AB906" s="199"/>
      <c r="AC906" s="199"/>
      <c r="AD906" s="199"/>
      <c r="AE906" s="199"/>
      <c r="AF906" s="199"/>
      <c r="AG906" s="199"/>
      <c r="AH906" s="199"/>
      <c r="AI906" s="231"/>
      <c r="AJ906" s="185"/>
      <c r="AK906" s="185"/>
      <c r="AL906" s="196"/>
      <c r="AM906" s="197"/>
    </row>
    <row r="907" spans="1:39" s="47" customFormat="1" ht="33">
      <c r="A907" s="72" t="s">
        <v>666</v>
      </c>
      <c r="B907" s="72"/>
      <c r="C907" s="72"/>
      <c r="D907" s="72"/>
      <c r="E907" s="120" t="s">
        <v>1469</v>
      </c>
      <c r="F907" s="225" t="s">
        <v>8</v>
      </c>
      <c r="G907" s="263" t="s">
        <v>68</v>
      </c>
      <c r="H907" s="263" t="s">
        <v>30</v>
      </c>
      <c r="I907" s="263" t="s">
        <v>31</v>
      </c>
      <c r="J907" s="264" t="s">
        <v>32</v>
      </c>
      <c r="K907" s="265" t="s">
        <v>69</v>
      </c>
      <c r="L907" s="341">
        <f>SUM(M907:Q907)</f>
        <v>6204262</v>
      </c>
      <c r="M907" s="342">
        <v>6204262</v>
      </c>
      <c r="N907" s="343"/>
      <c r="O907" s="344"/>
      <c r="P907" s="344"/>
      <c r="Q907" s="344"/>
      <c r="R907" s="90"/>
      <c r="S907" s="6"/>
      <c r="T907" s="6"/>
      <c r="U907" s="6"/>
      <c r="V907" s="10"/>
      <c r="W907" s="68"/>
      <c r="X907" s="68"/>
      <c r="Y907" s="68"/>
      <c r="Z907" s="68"/>
      <c r="AA907" s="68"/>
      <c r="AB907" s="68"/>
      <c r="AC907" s="68"/>
      <c r="AD907" s="68"/>
      <c r="AE907" s="68"/>
      <c r="AF907" s="68"/>
      <c r="AG907" s="68"/>
      <c r="AH907" s="68"/>
      <c r="AI907" s="57"/>
      <c r="AJ907" s="156">
        <v>100</v>
      </c>
      <c r="AK907" s="156">
        <v>2021</v>
      </c>
      <c r="AL907" s="70"/>
      <c r="AM907" s="159"/>
    </row>
    <row r="908" spans="1:39" s="47" customFormat="1">
      <c r="A908" s="72" t="s">
        <v>666</v>
      </c>
      <c r="B908" s="72"/>
      <c r="C908" s="72"/>
      <c r="D908" s="72"/>
      <c r="E908" s="120" t="s">
        <v>1469</v>
      </c>
      <c r="F908" s="225" t="s">
        <v>8</v>
      </c>
      <c r="G908" s="268" t="s">
        <v>68</v>
      </c>
      <c r="H908" s="268" t="s">
        <v>30</v>
      </c>
      <c r="I908" s="268" t="s">
        <v>31</v>
      </c>
      <c r="J908" s="267" t="s">
        <v>32</v>
      </c>
      <c r="K908" s="269" t="s">
        <v>70</v>
      </c>
      <c r="L908" s="341">
        <f>SUM(M908:Q908)</f>
        <v>28334108</v>
      </c>
      <c r="M908" s="342">
        <v>28334108</v>
      </c>
      <c r="N908" s="343"/>
      <c r="O908" s="344"/>
      <c r="P908" s="344"/>
      <c r="Q908" s="344"/>
      <c r="R908" s="90"/>
      <c r="S908" s="6"/>
      <c r="T908" s="6"/>
      <c r="U908" s="6"/>
      <c r="V908" s="10"/>
      <c r="W908" s="68"/>
      <c r="X908" s="68"/>
      <c r="Y908" s="68"/>
      <c r="Z908" s="68"/>
      <c r="AA908" s="68"/>
      <c r="AB908" s="68"/>
      <c r="AC908" s="68"/>
      <c r="AD908" s="68"/>
      <c r="AE908" s="68"/>
      <c r="AF908" s="68"/>
      <c r="AG908" s="68"/>
      <c r="AH908" s="68"/>
      <c r="AI908" s="57"/>
      <c r="AJ908" s="156">
        <v>100</v>
      </c>
      <c r="AK908" s="156">
        <v>2021</v>
      </c>
      <c r="AL908" s="70"/>
      <c r="AM908" s="159"/>
    </row>
    <row r="909" spans="1:39" s="47" customFormat="1">
      <c r="A909" s="72" t="s">
        <v>666</v>
      </c>
      <c r="B909" s="72"/>
      <c r="C909" s="72"/>
      <c r="D909" s="72"/>
      <c r="E909" s="120" t="s">
        <v>1469</v>
      </c>
      <c r="F909" s="225" t="s">
        <v>8</v>
      </c>
      <c r="G909" s="263" t="s">
        <v>68</v>
      </c>
      <c r="H909" s="263" t="s">
        <v>30</v>
      </c>
      <c r="I909" s="263" t="s">
        <v>31</v>
      </c>
      <c r="J909" s="264" t="s">
        <v>32</v>
      </c>
      <c r="K909" s="265" t="s">
        <v>71</v>
      </c>
      <c r="L909" s="341">
        <f>SUM(M909:Q909)</f>
        <v>320620</v>
      </c>
      <c r="M909" s="342">
        <v>320620</v>
      </c>
      <c r="N909" s="343"/>
      <c r="O909" s="344"/>
      <c r="P909" s="344"/>
      <c r="Q909" s="344"/>
      <c r="R909" s="90"/>
      <c r="S909" s="6"/>
      <c r="T909" s="6"/>
      <c r="U909" s="6"/>
      <c r="V909" s="10"/>
      <c r="W909" s="68"/>
      <c r="X909" s="68"/>
      <c r="Y909" s="68"/>
      <c r="Z909" s="68"/>
      <c r="AA909" s="68"/>
      <c r="AB909" s="68"/>
      <c r="AC909" s="68"/>
      <c r="AD909" s="68"/>
      <c r="AE909" s="68"/>
      <c r="AF909" s="68"/>
      <c r="AG909" s="68"/>
      <c r="AH909" s="68"/>
      <c r="AI909" s="57"/>
      <c r="AJ909" s="156">
        <v>100</v>
      </c>
      <c r="AK909" s="156">
        <v>2021</v>
      </c>
      <c r="AL909" s="70"/>
      <c r="AM909" s="159"/>
    </row>
    <row r="910" spans="1:39" s="233" customFormat="1">
      <c r="A910" s="193" t="s">
        <v>887</v>
      </c>
      <c r="B910" s="181" t="s">
        <v>193</v>
      </c>
      <c r="C910" s="181"/>
      <c r="D910" s="181"/>
      <c r="E910" s="182" t="s">
        <v>1225</v>
      </c>
      <c r="F910" s="225" t="s">
        <v>8</v>
      </c>
      <c r="G910" s="219" t="s">
        <v>81</v>
      </c>
      <c r="H910" s="219"/>
      <c r="I910" s="219"/>
      <c r="J910" s="184" t="s">
        <v>82</v>
      </c>
      <c r="K910" s="201"/>
      <c r="L910" s="287">
        <f>SUM(L912:L912)</f>
        <v>83244060</v>
      </c>
      <c r="M910" s="288">
        <f>SUM(M912:M912)</f>
        <v>83244060</v>
      </c>
      <c r="N910" s="289">
        <f t="shared" ref="N910:Q910" si="185">SUM(N912:N912)</f>
        <v>0</v>
      </c>
      <c r="O910" s="289">
        <f t="shared" si="185"/>
        <v>0</v>
      </c>
      <c r="P910" s="289">
        <f t="shared" si="185"/>
        <v>0</v>
      </c>
      <c r="Q910" s="289">
        <f t="shared" si="185"/>
        <v>0</v>
      </c>
      <c r="R910" s="187">
        <f t="shared" ref="R910:R911" si="186">L910-M910-N910-O910-P910-Q910</f>
        <v>0</v>
      </c>
      <c r="S910" s="235"/>
      <c r="T910" s="235"/>
      <c r="U910" s="235"/>
      <c r="V910" s="200"/>
      <c r="W910" s="199"/>
      <c r="X910" s="199"/>
      <c r="Y910" s="199"/>
      <c r="Z910" s="199"/>
      <c r="AA910" s="199"/>
      <c r="AB910" s="199"/>
      <c r="AC910" s="199"/>
      <c r="AD910" s="199"/>
      <c r="AE910" s="199"/>
      <c r="AF910" s="199"/>
      <c r="AG910" s="199"/>
      <c r="AH910" s="199"/>
      <c r="AI910" s="231"/>
      <c r="AJ910" s="187">
        <f>SUM(AJ912:AJ912)</f>
        <v>100</v>
      </c>
      <c r="AK910" s="185"/>
      <c r="AL910" s="196"/>
      <c r="AM910" s="197"/>
    </row>
    <row r="911" spans="1:39" s="233" customFormat="1">
      <c r="A911" s="193" t="s">
        <v>887</v>
      </c>
      <c r="B911" s="193"/>
      <c r="C911" s="193"/>
      <c r="D911" s="193"/>
      <c r="E911" s="182" t="s">
        <v>1225</v>
      </c>
      <c r="F911" s="225" t="s">
        <v>8</v>
      </c>
      <c r="G911" s="219" t="s">
        <v>83</v>
      </c>
      <c r="H911" s="220"/>
      <c r="I911" s="220"/>
      <c r="J911" s="190" t="s">
        <v>82</v>
      </c>
      <c r="K911" s="201"/>
      <c r="L911" s="331"/>
      <c r="M911" s="332"/>
      <c r="N911" s="333"/>
      <c r="O911" s="340"/>
      <c r="P911" s="340"/>
      <c r="Q911" s="340"/>
      <c r="R911" s="187">
        <f t="shared" si="186"/>
        <v>0</v>
      </c>
      <c r="S911" s="235"/>
      <c r="T911" s="235"/>
      <c r="U911" s="235"/>
      <c r="V911" s="200"/>
      <c r="W911" s="199"/>
      <c r="X911" s="199"/>
      <c r="Y911" s="199"/>
      <c r="Z911" s="199"/>
      <c r="AA911" s="199"/>
      <c r="AB911" s="199"/>
      <c r="AC911" s="199"/>
      <c r="AD911" s="199"/>
      <c r="AE911" s="199"/>
      <c r="AF911" s="199"/>
      <c r="AG911" s="199"/>
      <c r="AH911" s="199"/>
      <c r="AI911" s="231"/>
      <c r="AJ911" s="185"/>
      <c r="AK911" s="185"/>
      <c r="AL911" s="196"/>
      <c r="AM911" s="197"/>
    </row>
    <row r="912" spans="1:39" s="47" customFormat="1">
      <c r="A912" s="72" t="s">
        <v>887</v>
      </c>
      <c r="B912" s="72"/>
      <c r="C912" s="72"/>
      <c r="D912" s="72"/>
      <c r="E912" s="120" t="s">
        <v>1469</v>
      </c>
      <c r="F912" s="225" t="s">
        <v>8</v>
      </c>
      <c r="G912" s="263" t="s">
        <v>84</v>
      </c>
      <c r="H912" s="263" t="s">
        <v>30</v>
      </c>
      <c r="I912" s="263" t="s">
        <v>31</v>
      </c>
      <c r="J912" s="264" t="s">
        <v>32</v>
      </c>
      <c r="K912" s="265" t="s">
        <v>86</v>
      </c>
      <c r="L912" s="341">
        <f>SUM(M912:Q912)</f>
        <v>83244060</v>
      </c>
      <c r="M912" s="342">
        <v>83244060</v>
      </c>
      <c r="N912" s="343"/>
      <c r="O912" s="344"/>
      <c r="P912" s="344"/>
      <c r="Q912" s="344"/>
      <c r="R912" s="90"/>
      <c r="S912" s="6"/>
      <c r="T912" s="6"/>
      <c r="U912" s="6"/>
      <c r="V912" s="10"/>
      <c r="W912" s="68"/>
      <c r="X912" s="68"/>
      <c r="Y912" s="68"/>
      <c r="Z912" s="68"/>
      <c r="AA912" s="68"/>
      <c r="AB912" s="68"/>
      <c r="AC912" s="68"/>
      <c r="AD912" s="68"/>
      <c r="AE912" s="68"/>
      <c r="AF912" s="68"/>
      <c r="AG912" s="68"/>
      <c r="AH912" s="68"/>
      <c r="AI912" s="57"/>
      <c r="AJ912" s="156">
        <v>100</v>
      </c>
      <c r="AK912" s="156">
        <v>2021</v>
      </c>
      <c r="AL912" s="158"/>
      <c r="AM912" s="159"/>
    </row>
    <row r="913" spans="1:39" s="233" customFormat="1">
      <c r="A913" s="193" t="s">
        <v>889</v>
      </c>
      <c r="B913" s="181" t="s">
        <v>193</v>
      </c>
      <c r="C913" s="181"/>
      <c r="D913" s="181"/>
      <c r="E913" s="182" t="s">
        <v>1225</v>
      </c>
      <c r="F913" s="225" t="s">
        <v>8</v>
      </c>
      <c r="G913" s="219" t="s">
        <v>96</v>
      </c>
      <c r="H913" s="219"/>
      <c r="I913" s="219"/>
      <c r="J913" s="184" t="s">
        <v>97</v>
      </c>
      <c r="K913" s="201"/>
      <c r="L913" s="287">
        <f>SUM(L915)</f>
        <v>1065524</v>
      </c>
      <c r="M913" s="288">
        <f>SUM(M915)</f>
        <v>1065524</v>
      </c>
      <c r="N913" s="289">
        <f t="shared" ref="N913:Q913" si="187">SUM(N915)</f>
        <v>0</v>
      </c>
      <c r="O913" s="289">
        <f t="shared" si="187"/>
        <v>0</v>
      </c>
      <c r="P913" s="289">
        <f t="shared" si="187"/>
        <v>0</v>
      </c>
      <c r="Q913" s="289">
        <f t="shared" si="187"/>
        <v>0</v>
      </c>
      <c r="R913" s="187">
        <f t="shared" ref="R913:R914" si="188">L913-M913-N913-O913-P913-Q913</f>
        <v>0</v>
      </c>
      <c r="S913" s="235"/>
      <c r="T913" s="235"/>
      <c r="U913" s="235"/>
      <c r="V913" s="200"/>
      <c r="W913" s="199"/>
      <c r="X913" s="199"/>
      <c r="Y913" s="199"/>
      <c r="Z913" s="199"/>
      <c r="AA913" s="199"/>
      <c r="AB913" s="199"/>
      <c r="AC913" s="199"/>
      <c r="AD913" s="199"/>
      <c r="AE913" s="199"/>
      <c r="AF913" s="199"/>
      <c r="AG913" s="199"/>
      <c r="AH913" s="199"/>
      <c r="AI913" s="231"/>
      <c r="AJ913" s="187">
        <f>SUM(AJ915)</f>
        <v>100</v>
      </c>
      <c r="AK913" s="185"/>
      <c r="AL913" s="196"/>
      <c r="AM913" s="197"/>
    </row>
    <row r="914" spans="1:39" s="233" customFormat="1">
      <c r="A914" s="193" t="s">
        <v>889</v>
      </c>
      <c r="B914" s="193"/>
      <c r="C914" s="193"/>
      <c r="D914" s="193"/>
      <c r="E914" s="182" t="s">
        <v>1225</v>
      </c>
      <c r="F914" s="225" t="s">
        <v>8</v>
      </c>
      <c r="G914" s="219" t="s">
        <v>98</v>
      </c>
      <c r="H914" s="219"/>
      <c r="I914" s="219"/>
      <c r="J914" s="190" t="s">
        <v>97</v>
      </c>
      <c r="K914" s="201"/>
      <c r="L914" s="331"/>
      <c r="M914" s="332"/>
      <c r="N914" s="333"/>
      <c r="O914" s="340"/>
      <c r="P914" s="340"/>
      <c r="Q914" s="340"/>
      <c r="R914" s="187">
        <f t="shared" si="188"/>
        <v>0</v>
      </c>
      <c r="S914" s="235"/>
      <c r="T914" s="235"/>
      <c r="U914" s="235"/>
      <c r="V914" s="200"/>
      <c r="W914" s="199"/>
      <c r="X914" s="199"/>
      <c r="Y914" s="199"/>
      <c r="Z914" s="199"/>
      <c r="AA914" s="199"/>
      <c r="AB914" s="199"/>
      <c r="AC914" s="199"/>
      <c r="AD914" s="199"/>
      <c r="AE914" s="199"/>
      <c r="AF914" s="199"/>
      <c r="AG914" s="199"/>
      <c r="AH914" s="199"/>
      <c r="AI914" s="231"/>
      <c r="AJ914" s="185"/>
      <c r="AK914" s="185"/>
      <c r="AL914" s="196"/>
      <c r="AM914" s="197"/>
    </row>
    <row r="915" spans="1:39" s="47" customFormat="1" ht="33">
      <c r="A915" s="72" t="s">
        <v>889</v>
      </c>
      <c r="B915" s="72"/>
      <c r="C915" s="72"/>
      <c r="D915" s="72"/>
      <c r="E915" s="120" t="s">
        <v>1469</v>
      </c>
      <c r="F915" s="225" t="s">
        <v>8</v>
      </c>
      <c r="G915" s="263" t="s">
        <v>99</v>
      </c>
      <c r="H915" s="263" t="s">
        <v>30</v>
      </c>
      <c r="I915" s="263" t="s">
        <v>31</v>
      </c>
      <c r="J915" s="264" t="s">
        <v>32</v>
      </c>
      <c r="K915" s="265" t="s">
        <v>100</v>
      </c>
      <c r="L915" s="341">
        <f>SUM(M915:Q915)</f>
        <v>1065524</v>
      </c>
      <c r="M915" s="342">
        <v>1065524</v>
      </c>
      <c r="N915" s="343"/>
      <c r="O915" s="344"/>
      <c r="P915" s="344"/>
      <c r="Q915" s="344"/>
      <c r="R915" s="90"/>
      <c r="S915" s="6"/>
      <c r="T915" s="6"/>
      <c r="U915" s="6"/>
      <c r="V915" s="10"/>
      <c r="W915" s="68"/>
      <c r="X915" s="68"/>
      <c r="Y915" s="68"/>
      <c r="Z915" s="68"/>
      <c r="AA915" s="68"/>
      <c r="AB915" s="68"/>
      <c r="AC915" s="68"/>
      <c r="AD915" s="68"/>
      <c r="AE915" s="68"/>
      <c r="AF915" s="68"/>
      <c r="AG915" s="68"/>
      <c r="AH915" s="68"/>
      <c r="AI915" s="57"/>
      <c r="AJ915" s="156">
        <v>100</v>
      </c>
      <c r="AK915" s="156">
        <v>2021</v>
      </c>
      <c r="AL915" s="158"/>
      <c r="AM915" s="159"/>
    </row>
    <row r="916" spans="1:39" s="233" customFormat="1" ht="33">
      <c r="A916" s="193"/>
      <c r="B916" s="181" t="s">
        <v>193</v>
      </c>
      <c r="C916" s="234"/>
      <c r="D916" s="234"/>
      <c r="E916" s="225"/>
      <c r="F916" s="225" t="s">
        <v>4</v>
      </c>
      <c r="G916" s="220"/>
      <c r="H916" s="220"/>
      <c r="I916" s="220"/>
      <c r="J916" s="209" t="s">
        <v>1403</v>
      </c>
      <c r="K916" s="201"/>
      <c r="L916" s="287">
        <f>L917+L921+L925</f>
        <v>260500000</v>
      </c>
      <c r="M916" s="288">
        <f>M917+M921+M925</f>
        <v>260500000</v>
      </c>
      <c r="N916" s="289">
        <f t="shared" ref="N916:Q916" si="189">N917+N921+N925</f>
        <v>0</v>
      </c>
      <c r="O916" s="289">
        <f t="shared" si="189"/>
        <v>0</v>
      </c>
      <c r="P916" s="289">
        <f t="shared" si="189"/>
        <v>0</v>
      </c>
      <c r="Q916" s="289">
        <f t="shared" si="189"/>
        <v>0</v>
      </c>
      <c r="R916" s="187">
        <f t="shared" ref="R916:R918" si="190">L916-M916-N916-O916-P916-Q916</f>
        <v>0</v>
      </c>
      <c r="S916" s="235"/>
      <c r="T916" s="235"/>
      <c r="U916" s="235"/>
      <c r="V916" s="200"/>
      <c r="W916" s="199"/>
      <c r="X916" s="199"/>
      <c r="Y916" s="199"/>
      <c r="Z916" s="199"/>
      <c r="AA916" s="199"/>
      <c r="AB916" s="199"/>
      <c r="AC916" s="199"/>
      <c r="AD916" s="199"/>
      <c r="AE916" s="199"/>
      <c r="AF916" s="199"/>
      <c r="AG916" s="199"/>
      <c r="AH916" s="199"/>
      <c r="AI916" s="231"/>
      <c r="AJ916" s="187">
        <f>AJ917+AJ921+AJ925</f>
        <v>700</v>
      </c>
      <c r="AK916" s="238"/>
      <c r="AL916" s="232"/>
      <c r="AM916" s="232"/>
    </row>
    <row r="917" spans="1:39" s="233" customFormat="1" ht="33">
      <c r="A917" s="193" t="s">
        <v>666</v>
      </c>
      <c r="B917" s="181" t="s">
        <v>193</v>
      </c>
      <c r="C917" s="181"/>
      <c r="D917" s="181"/>
      <c r="E917" s="182"/>
      <c r="F917" s="225" t="s">
        <v>4</v>
      </c>
      <c r="G917" s="183" t="s">
        <v>65</v>
      </c>
      <c r="H917" s="183"/>
      <c r="I917" s="183"/>
      <c r="J917" s="184" t="s">
        <v>66</v>
      </c>
      <c r="K917" s="201"/>
      <c r="L917" s="287">
        <f>SUM(L919:L920)</f>
        <v>105000000</v>
      </c>
      <c r="M917" s="288">
        <f>SUM(M919:M920)</f>
        <v>105000000</v>
      </c>
      <c r="N917" s="289">
        <f t="shared" ref="N917:Q917" si="191">SUM(N919:N920)</f>
        <v>0</v>
      </c>
      <c r="O917" s="289">
        <f t="shared" si="191"/>
        <v>0</v>
      </c>
      <c r="P917" s="289">
        <f t="shared" si="191"/>
        <v>0</v>
      </c>
      <c r="Q917" s="289">
        <f t="shared" si="191"/>
        <v>0</v>
      </c>
      <c r="R917" s="187">
        <f t="shared" si="190"/>
        <v>0</v>
      </c>
      <c r="S917" s="235"/>
      <c r="T917" s="235"/>
      <c r="U917" s="235"/>
      <c r="V917" s="200"/>
      <c r="W917" s="199"/>
      <c r="X917" s="199"/>
      <c r="Y917" s="199"/>
      <c r="Z917" s="199"/>
      <c r="AA917" s="199"/>
      <c r="AB917" s="199"/>
      <c r="AC917" s="199"/>
      <c r="AD917" s="199"/>
      <c r="AE917" s="199"/>
      <c r="AF917" s="199"/>
      <c r="AG917" s="199"/>
      <c r="AH917" s="199"/>
      <c r="AI917" s="231"/>
      <c r="AJ917" s="187">
        <f>SUM(AJ919:AJ920)</f>
        <v>200</v>
      </c>
      <c r="AK917" s="185"/>
      <c r="AL917" s="196"/>
      <c r="AM917" s="186"/>
    </row>
    <row r="918" spans="1:39" s="233" customFormat="1" ht="33">
      <c r="A918" s="193" t="s">
        <v>666</v>
      </c>
      <c r="B918" s="181"/>
      <c r="C918" s="193"/>
      <c r="D918" s="193"/>
      <c r="E918" s="182"/>
      <c r="F918" s="225" t="s">
        <v>4</v>
      </c>
      <c r="G918" s="183" t="s">
        <v>67</v>
      </c>
      <c r="H918" s="183"/>
      <c r="I918" s="183"/>
      <c r="J918" s="190" t="s">
        <v>66</v>
      </c>
      <c r="K918" s="201"/>
      <c r="L918" s="331"/>
      <c r="M918" s="332"/>
      <c r="N918" s="333"/>
      <c r="O918" s="340"/>
      <c r="P918" s="340"/>
      <c r="Q918" s="340"/>
      <c r="R918" s="187">
        <f t="shared" si="190"/>
        <v>0</v>
      </c>
      <c r="S918" s="235"/>
      <c r="T918" s="235"/>
      <c r="U918" s="235"/>
      <c r="V918" s="200"/>
      <c r="W918" s="199"/>
      <c r="X918" s="199"/>
      <c r="Y918" s="199"/>
      <c r="Z918" s="199"/>
      <c r="AA918" s="199"/>
      <c r="AB918" s="199"/>
      <c r="AC918" s="199"/>
      <c r="AD918" s="199"/>
      <c r="AE918" s="199"/>
      <c r="AF918" s="199"/>
      <c r="AG918" s="199"/>
      <c r="AH918" s="199"/>
      <c r="AI918" s="231"/>
      <c r="AJ918" s="185"/>
      <c r="AK918" s="185"/>
      <c r="AL918" s="196"/>
      <c r="AM918" s="197"/>
    </row>
    <row r="919" spans="1:39" s="47" customFormat="1" ht="66">
      <c r="A919" s="72" t="s">
        <v>666</v>
      </c>
      <c r="B919" s="72"/>
      <c r="C919" s="72"/>
      <c r="D919" s="72"/>
      <c r="E919" s="120" t="s">
        <v>1469</v>
      </c>
      <c r="F919" s="225" t="s">
        <v>4</v>
      </c>
      <c r="G919" s="169" t="s">
        <v>68</v>
      </c>
      <c r="H919" s="169" t="s">
        <v>30</v>
      </c>
      <c r="I919" s="169" t="s">
        <v>31</v>
      </c>
      <c r="J919" s="161" t="s">
        <v>32</v>
      </c>
      <c r="K919" s="155" t="s">
        <v>1404</v>
      </c>
      <c r="L919" s="336">
        <f>SUM(M919:Q919)</f>
        <v>30000000</v>
      </c>
      <c r="M919" s="337">
        <v>30000000</v>
      </c>
      <c r="N919" s="338"/>
      <c r="O919" s="339"/>
      <c r="P919" s="339"/>
      <c r="Q919" s="339"/>
      <c r="R919" s="90"/>
      <c r="S919" s="6"/>
      <c r="T919" s="6"/>
      <c r="U919" s="6"/>
      <c r="V919" s="10"/>
      <c r="W919" s="68"/>
      <c r="X919" s="68"/>
      <c r="Y919" s="68"/>
      <c r="Z919" s="68"/>
      <c r="AA919" s="68"/>
      <c r="AB919" s="68"/>
      <c r="AC919" s="68"/>
      <c r="AD919" s="68"/>
      <c r="AE919" s="68"/>
      <c r="AF919" s="68"/>
      <c r="AG919" s="68"/>
      <c r="AH919" s="68"/>
      <c r="AI919" s="57"/>
      <c r="AJ919" s="156">
        <v>100</v>
      </c>
      <c r="AK919" s="156">
        <v>2021</v>
      </c>
      <c r="AL919" s="70"/>
      <c r="AM919" s="159"/>
    </row>
    <row r="920" spans="1:39" s="47" customFormat="1" ht="49.5">
      <c r="A920" s="72" t="s">
        <v>666</v>
      </c>
      <c r="B920" s="72"/>
      <c r="C920" s="72"/>
      <c r="D920" s="72"/>
      <c r="E920" s="120" t="s">
        <v>1469</v>
      </c>
      <c r="F920" s="225" t="s">
        <v>4</v>
      </c>
      <c r="G920" s="154" t="s">
        <v>68</v>
      </c>
      <c r="H920" s="154" t="s">
        <v>30</v>
      </c>
      <c r="I920" s="154" t="s">
        <v>31</v>
      </c>
      <c r="J920" s="125" t="s">
        <v>32</v>
      </c>
      <c r="K920" s="157" t="s">
        <v>1405</v>
      </c>
      <c r="L920" s="336">
        <f>SUM(M920:Q920)</f>
        <v>75000000</v>
      </c>
      <c r="M920" s="337">
        <v>75000000</v>
      </c>
      <c r="N920" s="338"/>
      <c r="O920" s="339"/>
      <c r="P920" s="339"/>
      <c r="Q920" s="339"/>
      <c r="R920" s="90"/>
      <c r="S920" s="6"/>
      <c r="T920" s="6"/>
      <c r="U920" s="6"/>
      <c r="V920" s="10"/>
      <c r="W920" s="68"/>
      <c r="X920" s="68"/>
      <c r="Y920" s="68"/>
      <c r="Z920" s="68"/>
      <c r="AA920" s="68"/>
      <c r="AB920" s="68"/>
      <c r="AC920" s="68"/>
      <c r="AD920" s="68"/>
      <c r="AE920" s="68"/>
      <c r="AF920" s="68"/>
      <c r="AG920" s="68"/>
      <c r="AH920" s="68"/>
      <c r="AI920" s="57"/>
      <c r="AJ920" s="156">
        <v>100</v>
      </c>
      <c r="AK920" s="156">
        <v>2021</v>
      </c>
      <c r="AL920" s="70"/>
      <c r="AM920" s="159"/>
    </row>
    <row r="921" spans="1:39" s="233" customFormat="1">
      <c r="A921" s="193" t="s">
        <v>887</v>
      </c>
      <c r="B921" s="181" t="s">
        <v>193</v>
      </c>
      <c r="C921" s="181"/>
      <c r="D921" s="181"/>
      <c r="E921" s="182" t="s">
        <v>1225</v>
      </c>
      <c r="F921" s="225" t="s">
        <v>4</v>
      </c>
      <c r="G921" s="219" t="s">
        <v>81</v>
      </c>
      <c r="H921" s="219"/>
      <c r="I921" s="219"/>
      <c r="J921" s="184" t="s">
        <v>82</v>
      </c>
      <c r="K921" s="201"/>
      <c r="L921" s="287">
        <f>SUM(L923:L924)</f>
        <v>60500000</v>
      </c>
      <c r="M921" s="288">
        <f>SUM(M923:M924)</f>
        <v>60500000</v>
      </c>
      <c r="N921" s="289">
        <f t="shared" ref="N921:Q921" si="192">SUM(N923:N924)</f>
        <v>0</v>
      </c>
      <c r="O921" s="289">
        <f t="shared" si="192"/>
        <v>0</v>
      </c>
      <c r="P921" s="289">
        <f t="shared" si="192"/>
        <v>0</v>
      </c>
      <c r="Q921" s="289">
        <f t="shared" si="192"/>
        <v>0</v>
      </c>
      <c r="R921" s="187">
        <f t="shared" ref="R921:R922" si="193">L921-M921-N921-O921-P921-Q921</f>
        <v>0</v>
      </c>
      <c r="S921" s="235"/>
      <c r="T921" s="235"/>
      <c r="U921" s="235"/>
      <c r="V921" s="200"/>
      <c r="W921" s="199"/>
      <c r="X921" s="199"/>
      <c r="Y921" s="199"/>
      <c r="Z921" s="199"/>
      <c r="AA921" s="199"/>
      <c r="AB921" s="199"/>
      <c r="AC921" s="199"/>
      <c r="AD921" s="199"/>
      <c r="AE921" s="199"/>
      <c r="AF921" s="199"/>
      <c r="AG921" s="199"/>
      <c r="AH921" s="199"/>
      <c r="AI921" s="231"/>
      <c r="AJ921" s="187">
        <f>SUM(AJ923:AJ924)</f>
        <v>200</v>
      </c>
      <c r="AK921" s="185"/>
      <c r="AL921" s="196"/>
      <c r="AM921" s="197"/>
    </row>
    <row r="922" spans="1:39" s="233" customFormat="1">
      <c r="A922" s="193" t="s">
        <v>887</v>
      </c>
      <c r="B922" s="193"/>
      <c r="C922" s="193"/>
      <c r="D922" s="193"/>
      <c r="E922" s="182" t="s">
        <v>1225</v>
      </c>
      <c r="F922" s="225" t="s">
        <v>4</v>
      </c>
      <c r="G922" s="219" t="s">
        <v>83</v>
      </c>
      <c r="H922" s="220"/>
      <c r="I922" s="220"/>
      <c r="J922" s="190" t="s">
        <v>82</v>
      </c>
      <c r="K922" s="201"/>
      <c r="L922" s="331"/>
      <c r="M922" s="332"/>
      <c r="N922" s="333"/>
      <c r="O922" s="340"/>
      <c r="P922" s="340"/>
      <c r="Q922" s="340"/>
      <c r="R922" s="187">
        <f t="shared" si="193"/>
        <v>0</v>
      </c>
      <c r="S922" s="235"/>
      <c r="T922" s="235"/>
      <c r="U922" s="235"/>
      <c r="V922" s="200"/>
      <c r="W922" s="199"/>
      <c r="X922" s="199"/>
      <c r="Y922" s="199"/>
      <c r="Z922" s="199"/>
      <c r="AA922" s="199"/>
      <c r="AB922" s="199"/>
      <c r="AC922" s="199"/>
      <c r="AD922" s="199"/>
      <c r="AE922" s="199"/>
      <c r="AF922" s="199"/>
      <c r="AG922" s="199"/>
      <c r="AH922" s="199"/>
      <c r="AI922" s="231"/>
      <c r="AJ922" s="185"/>
      <c r="AK922" s="185"/>
      <c r="AL922" s="196"/>
      <c r="AM922" s="197"/>
    </row>
    <row r="923" spans="1:39" s="47" customFormat="1" ht="99">
      <c r="A923" s="72" t="s">
        <v>887</v>
      </c>
      <c r="B923" s="72"/>
      <c r="C923" s="72"/>
      <c r="D923" s="72"/>
      <c r="E923" s="120" t="s">
        <v>1469</v>
      </c>
      <c r="F923" s="225" t="s">
        <v>4</v>
      </c>
      <c r="G923" s="154" t="s">
        <v>84</v>
      </c>
      <c r="H923" s="154" t="s">
        <v>30</v>
      </c>
      <c r="I923" s="154" t="s">
        <v>31</v>
      </c>
      <c r="J923" s="125" t="s">
        <v>32</v>
      </c>
      <c r="K923" s="157" t="s">
        <v>1406</v>
      </c>
      <c r="L923" s="336">
        <f>SUM(M923:Q923)</f>
        <v>10500000</v>
      </c>
      <c r="M923" s="337">
        <v>10500000</v>
      </c>
      <c r="N923" s="338"/>
      <c r="O923" s="339"/>
      <c r="P923" s="339"/>
      <c r="Q923" s="339"/>
      <c r="R923" s="90"/>
      <c r="S923" s="6"/>
      <c r="T923" s="6"/>
      <c r="U923" s="6"/>
      <c r="V923" s="10"/>
      <c r="W923" s="68"/>
      <c r="X923" s="68"/>
      <c r="Y923" s="68"/>
      <c r="Z923" s="68"/>
      <c r="AA923" s="68"/>
      <c r="AB923" s="68"/>
      <c r="AC923" s="68"/>
      <c r="AD923" s="68"/>
      <c r="AE923" s="68"/>
      <c r="AF923" s="68"/>
      <c r="AG923" s="68"/>
      <c r="AH923" s="68"/>
      <c r="AI923" s="57"/>
      <c r="AJ923" s="156">
        <v>100</v>
      </c>
      <c r="AK923" s="156">
        <v>2021</v>
      </c>
      <c r="AL923" s="158"/>
      <c r="AM923" s="159"/>
    </row>
    <row r="924" spans="1:39" s="47" customFormat="1" ht="82.5">
      <c r="A924" s="72" t="s">
        <v>887</v>
      </c>
      <c r="B924" s="72"/>
      <c r="C924" s="72"/>
      <c r="D924" s="72"/>
      <c r="E924" s="120" t="s">
        <v>1469</v>
      </c>
      <c r="F924" s="225" t="s">
        <v>4</v>
      </c>
      <c r="G924" s="154" t="s">
        <v>84</v>
      </c>
      <c r="H924" s="154" t="s">
        <v>30</v>
      </c>
      <c r="I924" s="154" t="s">
        <v>31</v>
      </c>
      <c r="J924" s="125" t="s">
        <v>32</v>
      </c>
      <c r="K924" s="157" t="s">
        <v>1407</v>
      </c>
      <c r="L924" s="336">
        <f>SUM(M924:Q924)</f>
        <v>50000000</v>
      </c>
      <c r="M924" s="337">
        <f>53000000-3000000</f>
        <v>50000000</v>
      </c>
      <c r="N924" s="338"/>
      <c r="O924" s="339"/>
      <c r="P924" s="339"/>
      <c r="Q924" s="339"/>
      <c r="R924" s="90"/>
      <c r="S924" s="6"/>
      <c r="T924" s="6"/>
      <c r="U924" s="6"/>
      <c r="V924" s="10"/>
      <c r="W924" s="68"/>
      <c r="X924" s="68"/>
      <c r="Y924" s="68"/>
      <c r="Z924" s="68"/>
      <c r="AA924" s="68"/>
      <c r="AB924" s="68"/>
      <c r="AC924" s="68"/>
      <c r="AD924" s="68"/>
      <c r="AE924" s="68"/>
      <c r="AF924" s="68"/>
      <c r="AG924" s="68"/>
      <c r="AH924" s="68"/>
      <c r="AI924" s="57"/>
      <c r="AJ924" s="156">
        <v>100</v>
      </c>
      <c r="AK924" s="156">
        <v>2021</v>
      </c>
      <c r="AL924" s="158"/>
      <c r="AM924" s="159"/>
    </row>
    <row r="925" spans="1:39" s="233" customFormat="1">
      <c r="A925" s="193" t="s">
        <v>892</v>
      </c>
      <c r="B925" s="181" t="s">
        <v>193</v>
      </c>
      <c r="C925" s="181"/>
      <c r="D925" s="181"/>
      <c r="E925" s="182" t="s">
        <v>1225</v>
      </c>
      <c r="F925" s="225" t="s">
        <v>4</v>
      </c>
      <c r="G925" s="184">
        <v>2700000</v>
      </c>
      <c r="H925" s="184"/>
      <c r="I925" s="184"/>
      <c r="J925" s="221" t="s">
        <v>116</v>
      </c>
      <c r="K925" s="222"/>
      <c r="L925" s="287">
        <f>SUM(L927:L929)</f>
        <v>95000000</v>
      </c>
      <c r="M925" s="288">
        <f>SUM(M927:M929)</f>
        <v>95000000</v>
      </c>
      <c r="N925" s="289">
        <f t="shared" ref="N925:Q925" si="194">SUM(N927:N929)</f>
        <v>0</v>
      </c>
      <c r="O925" s="289">
        <f t="shared" si="194"/>
        <v>0</v>
      </c>
      <c r="P925" s="289">
        <f t="shared" si="194"/>
        <v>0</v>
      </c>
      <c r="Q925" s="289">
        <f t="shared" si="194"/>
        <v>0</v>
      </c>
      <c r="R925" s="187">
        <f t="shared" ref="R925:R926" si="195">L925-M925-N925-O925-P925-Q925</f>
        <v>0</v>
      </c>
      <c r="S925" s="235"/>
      <c r="T925" s="235"/>
      <c r="U925" s="235"/>
      <c r="V925" s="200"/>
      <c r="W925" s="199"/>
      <c r="X925" s="199"/>
      <c r="Y925" s="199"/>
      <c r="Z925" s="199"/>
      <c r="AA925" s="199"/>
      <c r="AB925" s="199"/>
      <c r="AC925" s="199"/>
      <c r="AD925" s="199"/>
      <c r="AE925" s="199"/>
      <c r="AF925" s="199"/>
      <c r="AG925" s="199"/>
      <c r="AH925" s="199"/>
      <c r="AI925" s="231"/>
      <c r="AJ925" s="187">
        <f>SUM(AJ927:AJ929)</f>
        <v>300</v>
      </c>
      <c r="AK925" s="185"/>
      <c r="AL925" s="196"/>
      <c r="AM925" s="197"/>
    </row>
    <row r="926" spans="1:39" s="233" customFormat="1">
      <c r="A926" s="193" t="s">
        <v>892</v>
      </c>
      <c r="B926" s="224"/>
      <c r="C926" s="224"/>
      <c r="D926" s="224"/>
      <c r="E926" s="225" t="s">
        <v>1225</v>
      </c>
      <c r="F926" s="225" t="s">
        <v>4</v>
      </c>
      <c r="G926" s="184">
        <v>2710000</v>
      </c>
      <c r="H926" s="184"/>
      <c r="I926" s="219"/>
      <c r="J926" s="222" t="s">
        <v>116</v>
      </c>
      <c r="K926" s="226"/>
      <c r="L926" s="331"/>
      <c r="M926" s="332"/>
      <c r="N926" s="333"/>
      <c r="O926" s="340"/>
      <c r="P926" s="340"/>
      <c r="Q926" s="340"/>
      <c r="R926" s="187">
        <f t="shared" si="195"/>
        <v>0</v>
      </c>
      <c r="S926" s="235"/>
      <c r="T926" s="235"/>
      <c r="U926" s="235"/>
      <c r="V926" s="200"/>
      <c r="W926" s="199"/>
      <c r="X926" s="199"/>
      <c r="Y926" s="199"/>
      <c r="Z926" s="199"/>
      <c r="AA926" s="199"/>
      <c r="AB926" s="199"/>
      <c r="AC926" s="199"/>
      <c r="AD926" s="199"/>
      <c r="AE926" s="199"/>
      <c r="AF926" s="199"/>
      <c r="AG926" s="199"/>
      <c r="AH926" s="199"/>
      <c r="AI926" s="231"/>
      <c r="AJ926" s="185"/>
      <c r="AK926" s="185"/>
      <c r="AL926" s="197"/>
      <c r="AM926" s="197"/>
    </row>
    <row r="927" spans="1:39" s="47" customFormat="1" ht="66">
      <c r="A927" s="72" t="s">
        <v>892</v>
      </c>
      <c r="B927" s="35"/>
      <c r="C927" s="35"/>
      <c r="D927" s="35"/>
      <c r="E927" s="120" t="s">
        <v>1469</v>
      </c>
      <c r="F927" s="225" t="s">
        <v>4</v>
      </c>
      <c r="G927" s="156">
        <v>2717670</v>
      </c>
      <c r="H927" s="156">
        <v>7670</v>
      </c>
      <c r="I927" s="154" t="s">
        <v>31</v>
      </c>
      <c r="J927" s="125" t="s">
        <v>32</v>
      </c>
      <c r="K927" s="170" t="s">
        <v>1408</v>
      </c>
      <c r="L927" s="336">
        <f>SUM(M927:Q927)</f>
        <v>43000000</v>
      </c>
      <c r="M927" s="337">
        <v>43000000</v>
      </c>
      <c r="N927" s="338"/>
      <c r="O927" s="339"/>
      <c r="P927" s="339"/>
      <c r="Q927" s="339"/>
      <c r="R927" s="90"/>
      <c r="S927" s="6"/>
      <c r="T927" s="6"/>
      <c r="U927" s="6"/>
      <c r="V927" s="10"/>
      <c r="W927" s="68"/>
      <c r="X927" s="68"/>
      <c r="Y927" s="68"/>
      <c r="Z927" s="68"/>
      <c r="AA927" s="68"/>
      <c r="AB927" s="68"/>
      <c r="AC927" s="68"/>
      <c r="AD927" s="68"/>
      <c r="AE927" s="68"/>
      <c r="AF927" s="68"/>
      <c r="AG927" s="68"/>
      <c r="AH927" s="68"/>
      <c r="AI927" s="57"/>
      <c r="AJ927" s="156">
        <v>100</v>
      </c>
      <c r="AK927" s="156">
        <v>2021</v>
      </c>
      <c r="AL927" s="159"/>
      <c r="AM927" s="159"/>
    </row>
    <row r="928" spans="1:39" s="47" customFormat="1" ht="49.5">
      <c r="A928" s="72" t="s">
        <v>892</v>
      </c>
      <c r="B928" s="35"/>
      <c r="C928" s="35"/>
      <c r="D928" s="35"/>
      <c r="E928" s="37"/>
      <c r="F928" s="225" t="s">
        <v>4</v>
      </c>
      <c r="G928" s="156">
        <v>2717670</v>
      </c>
      <c r="H928" s="156">
        <v>7670</v>
      </c>
      <c r="I928" s="154" t="s">
        <v>31</v>
      </c>
      <c r="J928" s="125" t="s">
        <v>32</v>
      </c>
      <c r="K928" s="170" t="s">
        <v>1409</v>
      </c>
      <c r="L928" s="336">
        <f>SUM(M928:Q928)</f>
        <v>50500000</v>
      </c>
      <c r="M928" s="337">
        <v>50500000</v>
      </c>
      <c r="N928" s="338"/>
      <c r="O928" s="339"/>
      <c r="P928" s="339"/>
      <c r="Q928" s="339"/>
      <c r="R928" s="90"/>
      <c r="S928" s="6"/>
      <c r="T928" s="6"/>
      <c r="U928" s="6"/>
      <c r="V928" s="10"/>
      <c r="W928" s="68"/>
      <c r="X928" s="68"/>
      <c r="Y928" s="68"/>
      <c r="Z928" s="68"/>
      <c r="AA928" s="68"/>
      <c r="AB928" s="68"/>
      <c r="AC928" s="68"/>
      <c r="AD928" s="68"/>
      <c r="AE928" s="68"/>
      <c r="AF928" s="68"/>
      <c r="AG928" s="68"/>
      <c r="AH928" s="68"/>
      <c r="AI928" s="57"/>
      <c r="AJ928" s="156">
        <v>100</v>
      </c>
      <c r="AK928" s="156">
        <v>2021</v>
      </c>
      <c r="AL928" s="159"/>
      <c r="AM928" s="159"/>
    </row>
    <row r="929" spans="1:39" s="47" customFormat="1" ht="66">
      <c r="A929" s="72" t="s">
        <v>892</v>
      </c>
      <c r="B929" s="35"/>
      <c r="C929" s="35"/>
      <c r="D929" s="35"/>
      <c r="E929" s="37"/>
      <c r="F929" s="225" t="s">
        <v>4</v>
      </c>
      <c r="G929" s="156">
        <v>2717670</v>
      </c>
      <c r="H929" s="156">
        <v>7670</v>
      </c>
      <c r="I929" s="154" t="s">
        <v>31</v>
      </c>
      <c r="J929" s="125" t="s">
        <v>32</v>
      </c>
      <c r="K929" s="170" t="s">
        <v>1410</v>
      </c>
      <c r="L929" s="336">
        <f>SUM(M929:Q929)</f>
        <v>1500000</v>
      </c>
      <c r="M929" s="337">
        <v>1500000</v>
      </c>
      <c r="N929" s="338"/>
      <c r="O929" s="339"/>
      <c r="P929" s="339"/>
      <c r="Q929" s="339"/>
      <c r="R929" s="90"/>
      <c r="S929" s="6"/>
      <c r="T929" s="6"/>
      <c r="U929" s="6"/>
      <c r="V929" s="10"/>
      <c r="W929" s="68"/>
      <c r="X929" s="68"/>
      <c r="Y929" s="68"/>
      <c r="Z929" s="68"/>
      <c r="AA929" s="68"/>
      <c r="AB929" s="68"/>
      <c r="AC929" s="68"/>
      <c r="AD929" s="68"/>
      <c r="AE929" s="68"/>
      <c r="AF929" s="68"/>
      <c r="AG929" s="68"/>
      <c r="AH929" s="68"/>
      <c r="AI929" s="57"/>
      <c r="AJ929" s="156">
        <v>100</v>
      </c>
      <c r="AK929" s="156">
        <v>2021</v>
      </c>
      <c r="AL929" s="159"/>
      <c r="AM929" s="159"/>
    </row>
    <row r="930" spans="1:39" s="233" customFormat="1" ht="33">
      <c r="A930" s="193"/>
      <c r="B930" s="193"/>
      <c r="C930" s="193"/>
      <c r="D930" s="193"/>
      <c r="E930" s="182"/>
      <c r="F930" s="182"/>
      <c r="G930" s="220"/>
      <c r="H930" s="220"/>
      <c r="I930" s="220"/>
      <c r="J930" s="209" t="s">
        <v>1411</v>
      </c>
      <c r="K930" s="201"/>
      <c r="L930" s="287">
        <f>L931+L953+L962</f>
        <v>217200000</v>
      </c>
      <c r="M930" s="288">
        <f>M931+M953+M962</f>
        <v>217200000</v>
      </c>
      <c r="N930" s="289">
        <f t="shared" ref="N930:Q930" si="196">N931+N953+N962</f>
        <v>0</v>
      </c>
      <c r="O930" s="289">
        <f t="shared" si="196"/>
        <v>0</v>
      </c>
      <c r="P930" s="289">
        <f t="shared" si="196"/>
        <v>0</v>
      </c>
      <c r="Q930" s="289">
        <f t="shared" si="196"/>
        <v>0</v>
      </c>
      <c r="R930" s="187">
        <f t="shared" ref="R930:R932" si="197">L930-M930-N930-O930-P930-Q930</f>
        <v>0</v>
      </c>
      <c r="S930" s="235"/>
      <c r="T930" s="235"/>
      <c r="U930" s="235"/>
      <c r="V930" s="200"/>
      <c r="W930" s="199"/>
      <c r="X930" s="199"/>
      <c r="Y930" s="199"/>
      <c r="Z930" s="199"/>
      <c r="AA930" s="199"/>
      <c r="AB930" s="199"/>
      <c r="AC930" s="199"/>
      <c r="AD930" s="199"/>
      <c r="AE930" s="199"/>
      <c r="AF930" s="199"/>
      <c r="AG930" s="199"/>
      <c r="AH930" s="199"/>
      <c r="AI930" s="231"/>
      <c r="AJ930" s="187">
        <f>AJ931+AJ953+AJ962</f>
        <v>0</v>
      </c>
      <c r="AK930" s="185"/>
      <c r="AL930" s="191"/>
      <c r="AM930" s="197"/>
    </row>
    <row r="931" spans="1:39" s="233" customFormat="1" ht="33">
      <c r="A931" s="193" t="s">
        <v>666</v>
      </c>
      <c r="B931" s="181" t="s">
        <v>193</v>
      </c>
      <c r="C931" s="181"/>
      <c r="D931" s="181"/>
      <c r="E931" s="182"/>
      <c r="F931" s="182"/>
      <c r="G931" s="183" t="s">
        <v>65</v>
      </c>
      <c r="H931" s="183"/>
      <c r="I931" s="183"/>
      <c r="J931" s="184" t="s">
        <v>66</v>
      </c>
      <c r="K931" s="201"/>
      <c r="L931" s="287">
        <f>SUM(L933:L952)</f>
        <v>151200000</v>
      </c>
      <c r="M931" s="288">
        <f>SUM(M933:M952)</f>
        <v>151200000</v>
      </c>
      <c r="N931" s="289">
        <f t="shared" ref="N931:Q931" si="198">SUM(N933:N952)</f>
        <v>0</v>
      </c>
      <c r="O931" s="289">
        <f t="shared" si="198"/>
        <v>0</v>
      </c>
      <c r="P931" s="289">
        <f t="shared" si="198"/>
        <v>0</v>
      </c>
      <c r="Q931" s="289">
        <f t="shared" si="198"/>
        <v>0</v>
      </c>
      <c r="R931" s="187">
        <f t="shared" si="197"/>
        <v>0</v>
      </c>
      <c r="S931" s="235"/>
      <c r="T931" s="235"/>
      <c r="U931" s="235"/>
      <c r="V931" s="200"/>
      <c r="W931" s="199"/>
      <c r="X931" s="199"/>
      <c r="Y931" s="199"/>
      <c r="Z931" s="199"/>
      <c r="AA931" s="199"/>
      <c r="AB931" s="199"/>
      <c r="AC931" s="199"/>
      <c r="AD931" s="199"/>
      <c r="AE931" s="199"/>
      <c r="AF931" s="199"/>
      <c r="AG931" s="199"/>
      <c r="AH931" s="199"/>
      <c r="AI931" s="231"/>
      <c r="AJ931" s="187">
        <f>SUM(AJ933:AJ952)</f>
        <v>0</v>
      </c>
      <c r="AK931" s="185"/>
      <c r="AL931" s="196"/>
      <c r="AM931" s="186"/>
    </row>
    <row r="932" spans="1:39" s="233" customFormat="1" ht="33">
      <c r="A932" s="193" t="s">
        <v>666</v>
      </c>
      <c r="B932" s="193"/>
      <c r="C932" s="193"/>
      <c r="D932" s="193"/>
      <c r="E932" s="182"/>
      <c r="F932" s="182"/>
      <c r="G932" s="183" t="s">
        <v>67</v>
      </c>
      <c r="H932" s="183"/>
      <c r="I932" s="183"/>
      <c r="J932" s="190" t="s">
        <v>66</v>
      </c>
      <c r="K932" s="201"/>
      <c r="L932" s="331"/>
      <c r="M932" s="332"/>
      <c r="N932" s="333"/>
      <c r="O932" s="340"/>
      <c r="P932" s="340"/>
      <c r="Q932" s="340"/>
      <c r="R932" s="187">
        <f t="shared" si="197"/>
        <v>0</v>
      </c>
      <c r="S932" s="235"/>
      <c r="T932" s="235"/>
      <c r="U932" s="235"/>
      <c r="V932" s="200"/>
      <c r="W932" s="199"/>
      <c r="X932" s="199"/>
      <c r="Y932" s="199"/>
      <c r="Z932" s="199"/>
      <c r="AA932" s="199"/>
      <c r="AB932" s="199"/>
      <c r="AC932" s="199"/>
      <c r="AD932" s="199"/>
      <c r="AE932" s="199"/>
      <c r="AF932" s="199"/>
      <c r="AG932" s="199"/>
      <c r="AH932" s="199"/>
      <c r="AI932" s="231"/>
      <c r="AJ932" s="185"/>
      <c r="AK932" s="185"/>
      <c r="AL932" s="196"/>
      <c r="AM932" s="197"/>
    </row>
    <row r="933" spans="1:39" s="47" customFormat="1" ht="66">
      <c r="A933" s="72" t="s">
        <v>666</v>
      </c>
      <c r="B933" s="72"/>
      <c r="C933" s="72"/>
      <c r="D933" s="72"/>
      <c r="E933" s="120"/>
      <c r="F933" s="120"/>
      <c r="G933" s="169" t="s">
        <v>68</v>
      </c>
      <c r="H933" s="169" t="s">
        <v>30</v>
      </c>
      <c r="I933" s="169" t="s">
        <v>31</v>
      </c>
      <c r="J933" s="161" t="s">
        <v>32</v>
      </c>
      <c r="K933" s="155" t="s">
        <v>1412</v>
      </c>
      <c r="L933" s="336">
        <f t="shared" ref="L933:L952" si="199">SUM(M933:Q933)</f>
        <v>17500000</v>
      </c>
      <c r="M933" s="337">
        <v>17500000</v>
      </c>
      <c r="N933" s="338"/>
      <c r="O933" s="339"/>
      <c r="P933" s="339"/>
      <c r="Q933" s="339"/>
      <c r="R933" s="90"/>
      <c r="S933" s="6"/>
      <c r="T933" s="6"/>
      <c r="U933" s="6"/>
      <c r="V933" s="10"/>
      <c r="W933" s="68"/>
      <c r="X933" s="68"/>
      <c r="Y933" s="68"/>
      <c r="Z933" s="68"/>
      <c r="AA933" s="68"/>
      <c r="AB933" s="68"/>
      <c r="AC933" s="68"/>
      <c r="AD933" s="68"/>
      <c r="AE933" s="68"/>
      <c r="AF933" s="68"/>
      <c r="AG933" s="68"/>
      <c r="AH933" s="68"/>
      <c r="AI933" s="57"/>
      <c r="AJ933" s="156"/>
      <c r="AK933" s="162">
        <v>2021</v>
      </c>
      <c r="AL933" s="70"/>
      <c r="AM933" s="159"/>
    </row>
    <row r="934" spans="1:39" s="47" customFormat="1" ht="82.5">
      <c r="A934" s="72" t="s">
        <v>666</v>
      </c>
      <c r="B934" s="72"/>
      <c r="C934" s="72"/>
      <c r="D934" s="72"/>
      <c r="E934" s="120"/>
      <c r="F934" s="120"/>
      <c r="G934" s="169" t="s">
        <v>68</v>
      </c>
      <c r="H934" s="169" t="s">
        <v>30</v>
      </c>
      <c r="I934" s="169" t="s">
        <v>31</v>
      </c>
      <c r="J934" s="161" t="s">
        <v>32</v>
      </c>
      <c r="K934" s="171" t="s">
        <v>1413</v>
      </c>
      <c r="L934" s="336">
        <f t="shared" si="199"/>
        <v>12000000</v>
      </c>
      <c r="M934" s="337">
        <v>12000000</v>
      </c>
      <c r="N934" s="338"/>
      <c r="O934" s="339"/>
      <c r="P934" s="339"/>
      <c r="Q934" s="339"/>
      <c r="R934" s="90"/>
      <c r="S934" s="6"/>
      <c r="T934" s="6"/>
      <c r="U934" s="6"/>
      <c r="V934" s="10"/>
      <c r="W934" s="68"/>
      <c r="X934" s="68"/>
      <c r="Y934" s="68"/>
      <c r="Z934" s="68"/>
      <c r="AA934" s="68"/>
      <c r="AB934" s="68"/>
      <c r="AC934" s="68"/>
      <c r="AD934" s="68"/>
      <c r="AE934" s="68"/>
      <c r="AF934" s="68"/>
      <c r="AG934" s="68"/>
      <c r="AH934" s="68"/>
      <c r="AI934" s="57"/>
      <c r="AJ934" s="156"/>
      <c r="AK934" s="162">
        <v>2021</v>
      </c>
      <c r="AL934" s="70"/>
      <c r="AM934" s="159"/>
    </row>
    <row r="935" spans="1:39" s="47" customFormat="1" ht="49.5">
      <c r="A935" s="72" t="s">
        <v>666</v>
      </c>
      <c r="B935" s="72"/>
      <c r="C935" s="72"/>
      <c r="D935" s="72"/>
      <c r="E935" s="120"/>
      <c r="F935" s="120"/>
      <c r="G935" s="169" t="s">
        <v>68</v>
      </c>
      <c r="H935" s="169" t="s">
        <v>30</v>
      </c>
      <c r="I935" s="169" t="s">
        <v>31</v>
      </c>
      <c r="J935" s="161" t="s">
        <v>32</v>
      </c>
      <c r="K935" s="171" t="s">
        <v>1414</v>
      </c>
      <c r="L935" s="336">
        <f t="shared" si="199"/>
        <v>20000000</v>
      </c>
      <c r="M935" s="337">
        <v>20000000</v>
      </c>
      <c r="N935" s="338"/>
      <c r="O935" s="339"/>
      <c r="P935" s="339"/>
      <c r="Q935" s="339"/>
      <c r="R935" s="90"/>
      <c r="S935" s="6"/>
      <c r="T935" s="6"/>
      <c r="U935" s="6"/>
      <c r="V935" s="10"/>
      <c r="W935" s="68"/>
      <c r="X935" s="68"/>
      <c r="Y935" s="68"/>
      <c r="Z935" s="68"/>
      <c r="AA935" s="68"/>
      <c r="AB935" s="68"/>
      <c r="AC935" s="68"/>
      <c r="AD935" s="68"/>
      <c r="AE935" s="68"/>
      <c r="AF935" s="68"/>
      <c r="AG935" s="68"/>
      <c r="AH935" s="68"/>
      <c r="AI935" s="57"/>
      <c r="AJ935" s="156"/>
      <c r="AK935" s="162">
        <v>2021</v>
      </c>
      <c r="AL935" s="70"/>
      <c r="AM935" s="159"/>
    </row>
    <row r="936" spans="1:39" s="47" customFormat="1" ht="49.5">
      <c r="A936" s="72" t="s">
        <v>666</v>
      </c>
      <c r="B936" s="72"/>
      <c r="C936" s="72"/>
      <c r="D936" s="72"/>
      <c r="E936" s="120"/>
      <c r="F936" s="120"/>
      <c r="G936" s="169" t="s">
        <v>68</v>
      </c>
      <c r="H936" s="169" t="s">
        <v>30</v>
      </c>
      <c r="I936" s="169" t="s">
        <v>31</v>
      </c>
      <c r="J936" s="172" t="s">
        <v>32</v>
      </c>
      <c r="K936" s="171" t="s">
        <v>1415</v>
      </c>
      <c r="L936" s="336">
        <f t="shared" si="199"/>
        <v>30000000</v>
      </c>
      <c r="M936" s="337">
        <f>10000000+20000000</f>
        <v>30000000</v>
      </c>
      <c r="N936" s="338"/>
      <c r="O936" s="339"/>
      <c r="P936" s="339"/>
      <c r="Q936" s="339"/>
      <c r="R936" s="90"/>
      <c r="S936" s="6"/>
      <c r="T936" s="6"/>
      <c r="U936" s="6"/>
      <c r="V936" s="10"/>
      <c r="W936" s="68"/>
      <c r="X936" s="68"/>
      <c r="Y936" s="68"/>
      <c r="Z936" s="68"/>
      <c r="AA936" s="68"/>
      <c r="AB936" s="68"/>
      <c r="AC936" s="68"/>
      <c r="AD936" s="68"/>
      <c r="AE936" s="68"/>
      <c r="AF936" s="68"/>
      <c r="AG936" s="68"/>
      <c r="AH936" s="68"/>
      <c r="AI936" s="57"/>
      <c r="AJ936" s="156"/>
      <c r="AK936" s="162">
        <v>2021</v>
      </c>
      <c r="AL936" s="70"/>
      <c r="AM936" s="159"/>
    </row>
    <row r="937" spans="1:39" s="47" customFormat="1" ht="66">
      <c r="A937" s="72" t="s">
        <v>666</v>
      </c>
      <c r="B937" s="72"/>
      <c r="C937" s="72"/>
      <c r="D937" s="72"/>
      <c r="E937" s="120"/>
      <c r="F937" s="120"/>
      <c r="G937" s="169" t="s">
        <v>68</v>
      </c>
      <c r="H937" s="169" t="s">
        <v>30</v>
      </c>
      <c r="I937" s="169" t="s">
        <v>31</v>
      </c>
      <c r="J937" s="161" t="s">
        <v>32</v>
      </c>
      <c r="K937" s="171" t="s">
        <v>1416</v>
      </c>
      <c r="L937" s="336">
        <f t="shared" si="199"/>
        <v>5000000</v>
      </c>
      <c r="M937" s="337">
        <v>5000000</v>
      </c>
      <c r="N937" s="338"/>
      <c r="O937" s="339"/>
      <c r="P937" s="339"/>
      <c r="Q937" s="339"/>
      <c r="R937" s="90"/>
      <c r="S937" s="6"/>
      <c r="T937" s="6"/>
      <c r="U937" s="6"/>
      <c r="V937" s="10"/>
      <c r="W937" s="68"/>
      <c r="X937" s="68"/>
      <c r="Y937" s="68"/>
      <c r="Z937" s="68"/>
      <c r="AA937" s="68"/>
      <c r="AB937" s="68"/>
      <c r="AC937" s="68"/>
      <c r="AD937" s="68"/>
      <c r="AE937" s="68"/>
      <c r="AF937" s="68"/>
      <c r="AG937" s="68"/>
      <c r="AH937" s="68"/>
      <c r="AI937" s="57"/>
      <c r="AJ937" s="167"/>
      <c r="AK937" s="156">
        <v>2021</v>
      </c>
      <c r="AL937" s="70"/>
      <c r="AM937" s="159"/>
    </row>
    <row r="938" spans="1:39" s="47" customFormat="1" ht="49.5">
      <c r="A938" s="72" t="s">
        <v>666</v>
      </c>
      <c r="B938" s="72"/>
      <c r="C938" s="72"/>
      <c r="D938" s="72"/>
      <c r="E938" s="120"/>
      <c r="F938" s="120"/>
      <c r="G938" s="169" t="s">
        <v>68</v>
      </c>
      <c r="H938" s="169" t="s">
        <v>30</v>
      </c>
      <c r="I938" s="169" t="s">
        <v>31</v>
      </c>
      <c r="J938" s="161" t="s">
        <v>32</v>
      </c>
      <c r="K938" s="171" t="s">
        <v>1417</v>
      </c>
      <c r="L938" s="336">
        <f t="shared" si="199"/>
        <v>6000000</v>
      </c>
      <c r="M938" s="337">
        <v>6000000</v>
      </c>
      <c r="N938" s="338"/>
      <c r="O938" s="339"/>
      <c r="P938" s="339"/>
      <c r="Q938" s="339"/>
      <c r="R938" s="90"/>
      <c r="S938" s="6"/>
      <c r="T938" s="6"/>
      <c r="U938" s="6"/>
      <c r="V938" s="10"/>
      <c r="W938" s="68"/>
      <c r="X938" s="68"/>
      <c r="Y938" s="68"/>
      <c r="Z938" s="68"/>
      <c r="AA938" s="68"/>
      <c r="AB938" s="68"/>
      <c r="AC938" s="68"/>
      <c r="AD938" s="68"/>
      <c r="AE938" s="68"/>
      <c r="AF938" s="68"/>
      <c r="AG938" s="68"/>
      <c r="AH938" s="68"/>
      <c r="AI938" s="57"/>
      <c r="AJ938" s="156"/>
      <c r="AK938" s="156">
        <v>2021</v>
      </c>
      <c r="AL938" s="70"/>
      <c r="AM938" s="159"/>
    </row>
    <row r="939" spans="1:39" s="47" customFormat="1" ht="49.5">
      <c r="A939" s="72" t="s">
        <v>666</v>
      </c>
      <c r="B939" s="72"/>
      <c r="C939" s="72"/>
      <c r="D939" s="72"/>
      <c r="E939" s="120"/>
      <c r="F939" s="120"/>
      <c r="G939" s="169" t="s">
        <v>68</v>
      </c>
      <c r="H939" s="169" t="s">
        <v>30</v>
      </c>
      <c r="I939" s="169" t="s">
        <v>31</v>
      </c>
      <c r="J939" s="172" t="s">
        <v>32</v>
      </c>
      <c r="K939" s="171" t="s">
        <v>1418</v>
      </c>
      <c r="L939" s="336">
        <f t="shared" si="199"/>
        <v>4200000</v>
      </c>
      <c r="M939" s="337">
        <f>4200000-2000000+1160000+840000</f>
        <v>4200000</v>
      </c>
      <c r="N939" s="338"/>
      <c r="O939" s="339"/>
      <c r="P939" s="339"/>
      <c r="Q939" s="339"/>
      <c r="R939" s="90"/>
      <c r="S939" s="6"/>
      <c r="T939" s="6"/>
      <c r="U939" s="6"/>
      <c r="V939" s="10"/>
      <c r="W939" s="68"/>
      <c r="X939" s="68"/>
      <c r="Y939" s="68"/>
      <c r="Z939" s="68"/>
      <c r="AA939" s="68"/>
      <c r="AB939" s="68"/>
      <c r="AC939" s="68"/>
      <c r="AD939" s="68"/>
      <c r="AE939" s="68"/>
      <c r="AF939" s="68"/>
      <c r="AG939" s="68"/>
      <c r="AH939" s="68"/>
      <c r="AI939" s="57"/>
      <c r="AJ939" s="156"/>
      <c r="AK939" s="156">
        <v>2021</v>
      </c>
      <c r="AL939" s="70"/>
      <c r="AM939" s="159"/>
    </row>
    <row r="940" spans="1:39" s="47" customFormat="1" ht="49.5">
      <c r="A940" s="72" t="s">
        <v>666</v>
      </c>
      <c r="B940" s="72"/>
      <c r="C940" s="72"/>
      <c r="D940" s="72"/>
      <c r="E940" s="120"/>
      <c r="F940" s="120"/>
      <c r="G940" s="169" t="s">
        <v>68</v>
      </c>
      <c r="H940" s="169" t="s">
        <v>30</v>
      </c>
      <c r="I940" s="169" t="s">
        <v>31</v>
      </c>
      <c r="J940" s="161" t="s">
        <v>32</v>
      </c>
      <c r="K940" s="171" t="s">
        <v>1419</v>
      </c>
      <c r="L940" s="336">
        <f t="shared" si="199"/>
        <v>2000000</v>
      </c>
      <c r="M940" s="337">
        <v>2000000</v>
      </c>
      <c r="N940" s="338"/>
      <c r="O940" s="339"/>
      <c r="P940" s="339"/>
      <c r="Q940" s="339"/>
      <c r="R940" s="90"/>
      <c r="S940" s="6"/>
      <c r="T940" s="6"/>
      <c r="U940" s="6"/>
      <c r="V940" s="10"/>
      <c r="W940" s="68"/>
      <c r="X940" s="68"/>
      <c r="Y940" s="68"/>
      <c r="Z940" s="68"/>
      <c r="AA940" s="68"/>
      <c r="AB940" s="68"/>
      <c r="AC940" s="68"/>
      <c r="AD940" s="68"/>
      <c r="AE940" s="68"/>
      <c r="AF940" s="68"/>
      <c r="AG940" s="68"/>
      <c r="AH940" s="68"/>
      <c r="AI940" s="57"/>
      <c r="AJ940" s="156"/>
      <c r="AK940" s="156">
        <v>2021</v>
      </c>
      <c r="AL940" s="70"/>
      <c r="AM940" s="159"/>
    </row>
    <row r="941" spans="1:39" s="47" customFormat="1" ht="82.5">
      <c r="A941" s="72" t="s">
        <v>666</v>
      </c>
      <c r="B941" s="72"/>
      <c r="C941" s="72"/>
      <c r="D941" s="72"/>
      <c r="E941" s="120"/>
      <c r="F941" s="120"/>
      <c r="G941" s="154" t="s">
        <v>68</v>
      </c>
      <c r="H941" s="154" t="s">
        <v>30</v>
      </c>
      <c r="I941" s="154" t="s">
        <v>31</v>
      </c>
      <c r="J941" s="125" t="s">
        <v>32</v>
      </c>
      <c r="K941" s="173" t="s">
        <v>1420</v>
      </c>
      <c r="L941" s="336">
        <f t="shared" si="199"/>
        <v>4000000</v>
      </c>
      <c r="M941" s="337">
        <v>4000000</v>
      </c>
      <c r="N941" s="338"/>
      <c r="O941" s="339"/>
      <c r="P941" s="339"/>
      <c r="Q941" s="339"/>
      <c r="R941" s="90"/>
      <c r="S941" s="6"/>
      <c r="T941" s="6"/>
      <c r="U941" s="6"/>
      <c r="V941" s="10"/>
      <c r="W941" s="68"/>
      <c r="X941" s="68"/>
      <c r="Y941" s="68"/>
      <c r="Z941" s="68"/>
      <c r="AA941" s="68"/>
      <c r="AB941" s="68"/>
      <c r="AC941" s="68"/>
      <c r="AD941" s="68"/>
      <c r="AE941" s="68"/>
      <c r="AF941" s="68"/>
      <c r="AG941" s="68"/>
      <c r="AH941" s="68"/>
      <c r="AI941" s="57"/>
      <c r="AJ941" s="156"/>
      <c r="AK941" s="162">
        <v>2021</v>
      </c>
      <c r="AL941" s="70"/>
      <c r="AM941" s="159"/>
    </row>
    <row r="942" spans="1:39" s="47" customFormat="1" ht="66">
      <c r="A942" s="72" t="s">
        <v>666</v>
      </c>
      <c r="B942" s="72"/>
      <c r="C942" s="72"/>
      <c r="D942" s="72"/>
      <c r="E942" s="120"/>
      <c r="F942" s="120"/>
      <c r="G942" s="154" t="s">
        <v>68</v>
      </c>
      <c r="H942" s="154" t="s">
        <v>30</v>
      </c>
      <c r="I942" s="154" t="s">
        <v>31</v>
      </c>
      <c r="J942" s="125" t="s">
        <v>32</v>
      </c>
      <c r="K942" s="157" t="s">
        <v>1421</v>
      </c>
      <c r="L942" s="336">
        <f t="shared" si="199"/>
        <v>1000000</v>
      </c>
      <c r="M942" s="337">
        <v>1000000</v>
      </c>
      <c r="N942" s="338"/>
      <c r="O942" s="339"/>
      <c r="P942" s="339"/>
      <c r="Q942" s="339"/>
      <c r="R942" s="90"/>
      <c r="S942" s="6"/>
      <c r="T942" s="6"/>
      <c r="U942" s="6"/>
      <c r="V942" s="10"/>
      <c r="W942" s="68"/>
      <c r="X942" s="68"/>
      <c r="Y942" s="68"/>
      <c r="Z942" s="68"/>
      <c r="AA942" s="68"/>
      <c r="AB942" s="68"/>
      <c r="AC942" s="68"/>
      <c r="AD942" s="68"/>
      <c r="AE942" s="68"/>
      <c r="AF942" s="68"/>
      <c r="AG942" s="68"/>
      <c r="AH942" s="68"/>
      <c r="AI942" s="57"/>
      <c r="AJ942" s="156"/>
      <c r="AK942" s="162">
        <v>2021</v>
      </c>
      <c r="AL942" s="70"/>
      <c r="AM942" s="159"/>
    </row>
    <row r="943" spans="1:39" s="47" customFormat="1" ht="66">
      <c r="A943" s="72" t="s">
        <v>666</v>
      </c>
      <c r="B943" s="72"/>
      <c r="C943" s="72"/>
      <c r="D943" s="72"/>
      <c r="E943" s="120"/>
      <c r="F943" s="120"/>
      <c r="G943" s="154" t="s">
        <v>68</v>
      </c>
      <c r="H943" s="154" t="s">
        <v>30</v>
      </c>
      <c r="I943" s="154" t="s">
        <v>31</v>
      </c>
      <c r="J943" s="125" t="s">
        <v>32</v>
      </c>
      <c r="K943" s="157" t="s">
        <v>1422</v>
      </c>
      <c r="L943" s="336">
        <f t="shared" si="199"/>
        <v>2100000</v>
      </c>
      <c r="M943" s="337">
        <v>2100000</v>
      </c>
      <c r="N943" s="338"/>
      <c r="O943" s="339"/>
      <c r="P943" s="339"/>
      <c r="Q943" s="339"/>
      <c r="R943" s="90"/>
      <c r="S943" s="6"/>
      <c r="T943" s="6"/>
      <c r="U943" s="6"/>
      <c r="V943" s="10"/>
      <c r="W943" s="68"/>
      <c r="X943" s="68"/>
      <c r="Y943" s="68"/>
      <c r="Z943" s="68"/>
      <c r="AA943" s="68"/>
      <c r="AB943" s="68"/>
      <c r="AC943" s="68"/>
      <c r="AD943" s="68"/>
      <c r="AE943" s="68"/>
      <c r="AF943" s="68"/>
      <c r="AG943" s="68"/>
      <c r="AH943" s="68"/>
      <c r="AI943" s="57"/>
      <c r="AJ943" s="156"/>
      <c r="AK943" s="162">
        <v>2021</v>
      </c>
      <c r="AL943" s="70"/>
      <c r="AM943" s="159"/>
    </row>
    <row r="944" spans="1:39" s="47" customFormat="1" ht="66">
      <c r="A944" s="72" t="s">
        <v>666</v>
      </c>
      <c r="B944" s="72"/>
      <c r="C944" s="72"/>
      <c r="D944" s="72"/>
      <c r="E944" s="120"/>
      <c r="F944" s="120"/>
      <c r="G944" s="154" t="s">
        <v>68</v>
      </c>
      <c r="H944" s="154" t="s">
        <v>30</v>
      </c>
      <c r="I944" s="154" t="s">
        <v>31</v>
      </c>
      <c r="J944" s="125" t="s">
        <v>32</v>
      </c>
      <c r="K944" s="157" t="s">
        <v>1423</v>
      </c>
      <c r="L944" s="336">
        <f t="shared" si="199"/>
        <v>2200000</v>
      </c>
      <c r="M944" s="337">
        <v>2200000</v>
      </c>
      <c r="N944" s="338"/>
      <c r="O944" s="339"/>
      <c r="P944" s="339"/>
      <c r="Q944" s="339"/>
      <c r="R944" s="90"/>
      <c r="S944" s="6"/>
      <c r="T944" s="6"/>
      <c r="U944" s="6"/>
      <c r="V944" s="10"/>
      <c r="W944" s="68"/>
      <c r="X944" s="68"/>
      <c r="Y944" s="68"/>
      <c r="Z944" s="68"/>
      <c r="AA944" s="68"/>
      <c r="AB944" s="68"/>
      <c r="AC944" s="68"/>
      <c r="AD944" s="68"/>
      <c r="AE944" s="68"/>
      <c r="AF944" s="68"/>
      <c r="AG944" s="68"/>
      <c r="AH944" s="68"/>
      <c r="AI944" s="57"/>
      <c r="AJ944" s="156"/>
      <c r="AK944" s="162">
        <v>2021</v>
      </c>
      <c r="AL944" s="70"/>
      <c r="AM944" s="159"/>
    </row>
    <row r="945" spans="1:39" s="47" customFormat="1" ht="82.5">
      <c r="A945" s="72" t="s">
        <v>666</v>
      </c>
      <c r="B945" s="72"/>
      <c r="C945" s="72"/>
      <c r="D945" s="72"/>
      <c r="E945" s="120"/>
      <c r="F945" s="120"/>
      <c r="G945" s="154" t="s">
        <v>68</v>
      </c>
      <c r="H945" s="154" t="s">
        <v>30</v>
      </c>
      <c r="I945" s="154" t="s">
        <v>31</v>
      </c>
      <c r="J945" s="125" t="s">
        <v>32</v>
      </c>
      <c r="K945" s="157" t="s">
        <v>1424</v>
      </c>
      <c r="L945" s="336">
        <f t="shared" si="199"/>
        <v>700000</v>
      </c>
      <c r="M945" s="337">
        <v>700000</v>
      </c>
      <c r="N945" s="338"/>
      <c r="O945" s="339"/>
      <c r="P945" s="339"/>
      <c r="Q945" s="339"/>
      <c r="R945" s="90"/>
      <c r="S945" s="6"/>
      <c r="T945" s="6"/>
      <c r="U945" s="6"/>
      <c r="V945" s="10"/>
      <c r="W945" s="68"/>
      <c r="X945" s="68"/>
      <c r="Y945" s="68"/>
      <c r="Z945" s="68"/>
      <c r="AA945" s="68"/>
      <c r="AB945" s="68"/>
      <c r="AC945" s="68"/>
      <c r="AD945" s="68"/>
      <c r="AE945" s="68"/>
      <c r="AF945" s="68"/>
      <c r="AG945" s="68"/>
      <c r="AH945" s="68"/>
      <c r="AI945" s="57"/>
      <c r="AJ945" s="156"/>
      <c r="AK945" s="162">
        <v>2021</v>
      </c>
      <c r="AL945" s="70"/>
      <c r="AM945" s="159"/>
    </row>
    <row r="946" spans="1:39" s="47" customFormat="1" ht="66">
      <c r="A946" s="72" t="s">
        <v>666</v>
      </c>
      <c r="B946" s="72"/>
      <c r="C946" s="72"/>
      <c r="D946" s="72"/>
      <c r="E946" s="120"/>
      <c r="F946" s="120"/>
      <c r="G946" s="154" t="s">
        <v>68</v>
      </c>
      <c r="H946" s="154" t="s">
        <v>30</v>
      </c>
      <c r="I946" s="154" t="s">
        <v>31</v>
      </c>
      <c r="J946" s="125" t="s">
        <v>32</v>
      </c>
      <c r="K946" s="157" t="s">
        <v>1425</v>
      </c>
      <c r="L946" s="336">
        <f t="shared" si="199"/>
        <v>8000000</v>
      </c>
      <c r="M946" s="337">
        <f>10000000-2000000</f>
        <v>8000000</v>
      </c>
      <c r="N946" s="338"/>
      <c r="O946" s="339"/>
      <c r="P946" s="339"/>
      <c r="Q946" s="339"/>
      <c r="R946" s="90"/>
      <c r="S946" s="6"/>
      <c r="T946" s="6"/>
      <c r="U946" s="6"/>
      <c r="V946" s="10"/>
      <c r="W946" s="68"/>
      <c r="X946" s="68"/>
      <c r="Y946" s="68"/>
      <c r="Z946" s="68"/>
      <c r="AA946" s="68"/>
      <c r="AB946" s="68"/>
      <c r="AC946" s="68"/>
      <c r="AD946" s="68"/>
      <c r="AE946" s="68"/>
      <c r="AF946" s="68"/>
      <c r="AG946" s="68"/>
      <c r="AH946" s="68"/>
      <c r="AI946" s="57"/>
      <c r="AJ946" s="156"/>
      <c r="AK946" s="162">
        <v>2021</v>
      </c>
      <c r="AL946" s="70"/>
      <c r="AM946" s="159"/>
    </row>
    <row r="947" spans="1:39" s="47" customFormat="1" ht="49.5">
      <c r="A947" s="72" t="s">
        <v>666</v>
      </c>
      <c r="B947" s="72"/>
      <c r="C947" s="72"/>
      <c r="D947" s="72"/>
      <c r="E947" s="120"/>
      <c r="F947" s="120"/>
      <c r="G947" s="154" t="s">
        <v>68</v>
      </c>
      <c r="H947" s="154" t="s">
        <v>30</v>
      </c>
      <c r="I947" s="154" t="s">
        <v>31</v>
      </c>
      <c r="J947" s="125" t="s">
        <v>32</v>
      </c>
      <c r="K947" s="157" t="s">
        <v>1426</v>
      </c>
      <c r="L947" s="336">
        <f t="shared" si="199"/>
        <v>10000000</v>
      </c>
      <c r="M947" s="337">
        <v>10000000</v>
      </c>
      <c r="N947" s="338"/>
      <c r="O947" s="339"/>
      <c r="P947" s="339"/>
      <c r="Q947" s="339"/>
      <c r="R947" s="90"/>
      <c r="S947" s="6"/>
      <c r="T947" s="6"/>
      <c r="U947" s="6"/>
      <c r="V947" s="10"/>
      <c r="W947" s="68"/>
      <c r="X947" s="68"/>
      <c r="Y947" s="68"/>
      <c r="Z947" s="68"/>
      <c r="AA947" s="68"/>
      <c r="AB947" s="68"/>
      <c r="AC947" s="68"/>
      <c r="AD947" s="68"/>
      <c r="AE947" s="68"/>
      <c r="AF947" s="68"/>
      <c r="AG947" s="68"/>
      <c r="AH947" s="68"/>
      <c r="AI947" s="57"/>
      <c r="AJ947" s="156"/>
      <c r="AK947" s="162">
        <v>2021</v>
      </c>
      <c r="AL947" s="70"/>
      <c r="AM947" s="159"/>
    </row>
    <row r="948" spans="1:39" s="47" customFormat="1" ht="49.5">
      <c r="A948" s="72" t="s">
        <v>666</v>
      </c>
      <c r="B948" s="72"/>
      <c r="C948" s="72"/>
      <c r="D948" s="72"/>
      <c r="E948" s="120"/>
      <c r="F948" s="120"/>
      <c r="G948" s="154" t="s">
        <v>68</v>
      </c>
      <c r="H948" s="154" t="s">
        <v>30</v>
      </c>
      <c r="I948" s="154" t="s">
        <v>31</v>
      </c>
      <c r="J948" s="125" t="s">
        <v>32</v>
      </c>
      <c r="K948" s="157" t="s">
        <v>1427</v>
      </c>
      <c r="L948" s="336">
        <f t="shared" si="199"/>
        <v>7000000</v>
      </c>
      <c r="M948" s="337">
        <v>7000000</v>
      </c>
      <c r="N948" s="338"/>
      <c r="O948" s="339"/>
      <c r="P948" s="339"/>
      <c r="Q948" s="339"/>
      <c r="R948" s="90"/>
      <c r="S948" s="6"/>
      <c r="T948" s="6"/>
      <c r="U948" s="6"/>
      <c r="V948" s="10"/>
      <c r="W948" s="68"/>
      <c r="X948" s="68"/>
      <c r="Y948" s="68"/>
      <c r="Z948" s="68"/>
      <c r="AA948" s="68"/>
      <c r="AB948" s="68"/>
      <c r="AC948" s="68"/>
      <c r="AD948" s="68"/>
      <c r="AE948" s="68"/>
      <c r="AF948" s="68"/>
      <c r="AG948" s="68"/>
      <c r="AH948" s="68"/>
      <c r="AI948" s="57"/>
      <c r="AJ948" s="156"/>
      <c r="AK948" s="162">
        <v>2021</v>
      </c>
      <c r="AL948" s="70"/>
      <c r="AM948" s="159"/>
    </row>
    <row r="949" spans="1:39" s="47" customFormat="1" ht="66">
      <c r="A949" s="72" t="s">
        <v>666</v>
      </c>
      <c r="B949" s="72"/>
      <c r="C949" s="72"/>
      <c r="D949" s="72"/>
      <c r="E949" s="120"/>
      <c r="F949" s="120"/>
      <c r="G949" s="154" t="s">
        <v>68</v>
      </c>
      <c r="H949" s="154" t="s">
        <v>30</v>
      </c>
      <c r="I949" s="154" t="s">
        <v>31</v>
      </c>
      <c r="J949" s="125" t="s">
        <v>32</v>
      </c>
      <c r="K949" s="157" t="s">
        <v>1428</v>
      </c>
      <c r="L949" s="336">
        <f t="shared" si="199"/>
        <v>10500000</v>
      </c>
      <c r="M949" s="337">
        <v>10500000</v>
      </c>
      <c r="N949" s="338"/>
      <c r="O949" s="339"/>
      <c r="P949" s="339"/>
      <c r="Q949" s="339"/>
      <c r="R949" s="90"/>
      <c r="S949" s="6"/>
      <c r="T949" s="6"/>
      <c r="U949" s="6"/>
      <c r="V949" s="10"/>
      <c r="W949" s="68"/>
      <c r="X949" s="68"/>
      <c r="Y949" s="68"/>
      <c r="Z949" s="68"/>
      <c r="AA949" s="68"/>
      <c r="AB949" s="68"/>
      <c r="AC949" s="68"/>
      <c r="AD949" s="68"/>
      <c r="AE949" s="68"/>
      <c r="AF949" s="68"/>
      <c r="AG949" s="68"/>
      <c r="AH949" s="68"/>
      <c r="AI949" s="57"/>
      <c r="AJ949" s="156"/>
      <c r="AK949" s="162">
        <v>2021</v>
      </c>
      <c r="AL949" s="70"/>
      <c r="AM949" s="159"/>
    </row>
    <row r="950" spans="1:39" s="47" customFormat="1" ht="66">
      <c r="A950" s="72" t="s">
        <v>666</v>
      </c>
      <c r="B950" s="72"/>
      <c r="C950" s="72"/>
      <c r="D950" s="72"/>
      <c r="E950" s="120"/>
      <c r="F950" s="120"/>
      <c r="G950" s="154" t="s">
        <v>68</v>
      </c>
      <c r="H950" s="154" t="s">
        <v>30</v>
      </c>
      <c r="I950" s="154" t="s">
        <v>31</v>
      </c>
      <c r="J950" s="125" t="s">
        <v>32</v>
      </c>
      <c r="K950" s="157" t="s">
        <v>1429</v>
      </c>
      <c r="L950" s="336">
        <f t="shared" si="199"/>
        <v>2600000</v>
      </c>
      <c r="M950" s="337">
        <v>2600000</v>
      </c>
      <c r="N950" s="338"/>
      <c r="O950" s="339"/>
      <c r="P950" s="339"/>
      <c r="Q950" s="339"/>
      <c r="R950" s="90"/>
      <c r="S950" s="6"/>
      <c r="T950" s="6"/>
      <c r="U950" s="6"/>
      <c r="V950" s="10"/>
      <c r="W950" s="68"/>
      <c r="X950" s="68"/>
      <c r="Y950" s="68"/>
      <c r="Z950" s="68"/>
      <c r="AA950" s="68"/>
      <c r="AB950" s="68"/>
      <c r="AC950" s="68"/>
      <c r="AD950" s="68"/>
      <c r="AE950" s="68"/>
      <c r="AF950" s="68"/>
      <c r="AG950" s="68"/>
      <c r="AH950" s="68"/>
      <c r="AI950" s="57"/>
      <c r="AJ950" s="156"/>
      <c r="AK950" s="162">
        <v>2021</v>
      </c>
      <c r="AL950" s="70"/>
      <c r="AM950" s="159"/>
    </row>
    <row r="951" spans="1:39" s="47" customFormat="1" ht="66">
      <c r="A951" s="72" t="s">
        <v>666</v>
      </c>
      <c r="B951" s="72"/>
      <c r="C951" s="72"/>
      <c r="D951" s="72"/>
      <c r="E951" s="120"/>
      <c r="F951" s="120"/>
      <c r="G951" s="154" t="s">
        <v>68</v>
      </c>
      <c r="H951" s="154" t="s">
        <v>30</v>
      </c>
      <c r="I951" s="154" t="s">
        <v>31</v>
      </c>
      <c r="J951" s="125" t="s">
        <v>32</v>
      </c>
      <c r="K951" s="157" t="s">
        <v>1430</v>
      </c>
      <c r="L951" s="336">
        <f t="shared" si="199"/>
        <v>1400000</v>
      </c>
      <c r="M951" s="337">
        <v>1400000</v>
      </c>
      <c r="N951" s="338"/>
      <c r="O951" s="339"/>
      <c r="P951" s="339"/>
      <c r="Q951" s="339"/>
      <c r="R951" s="90"/>
      <c r="S951" s="6"/>
      <c r="T951" s="6"/>
      <c r="U951" s="6"/>
      <c r="V951" s="10"/>
      <c r="W951" s="68"/>
      <c r="X951" s="68"/>
      <c r="Y951" s="68"/>
      <c r="Z951" s="68"/>
      <c r="AA951" s="68"/>
      <c r="AB951" s="68"/>
      <c r="AC951" s="68"/>
      <c r="AD951" s="68"/>
      <c r="AE951" s="68"/>
      <c r="AF951" s="68"/>
      <c r="AG951" s="68"/>
      <c r="AH951" s="68"/>
      <c r="AI951" s="57"/>
      <c r="AJ951" s="156"/>
      <c r="AK951" s="162">
        <v>2021</v>
      </c>
      <c r="AL951" s="70"/>
      <c r="AM951" s="159"/>
    </row>
    <row r="952" spans="1:39" s="47" customFormat="1" ht="49.5">
      <c r="A952" s="72" t="s">
        <v>666</v>
      </c>
      <c r="B952" s="32"/>
      <c r="C952" s="32"/>
      <c r="D952" s="32"/>
      <c r="E952" s="37"/>
      <c r="F952" s="37"/>
      <c r="G952" s="154" t="s">
        <v>68</v>
      </c>
      <c r="H952" s="154" t="s">
        <v>30</v>
      </c>
      <c r="I952" s="154" t="s">
        <v>31</v>
      </c>
      <c r="J952" s="125" t="s">
        <v>32</v>
      </c>
      <c r="K952" s="157" t="s">
        <v>1431</v>
      </c>
      <c r="L952" s="336">
        <f t="shared" si="199"/>
        <v>5000000</v>
      </c>
      <c r="M952" s="337">
        <v>5000000</v>
      </c>
      <c r="N952" s="338"/>
      <c r="O952" s="339"/>
      <c r="P952" s="339"/>
      <c r="Q952" s="339"/>
      <c r="R952" s="90"/>
      <c r="S952" s="6"/>
      <c r="T952" s="6"/>
      <c r="U952" s="6"/>
      <c r="V952" s="10"/>
      <c r="W952" s="68"/>
      <c r="X952" s="68"/>
      <c r="Y952" s="68"/>
      <c r="Z952" s="68"/>
      <c r="AA952" s="68"/>
      <c r="AB952" s="68"/>
      <c r="AC952" s="68"/>
      <c r="AD952" s="68"/>
      <c r="AE952" s="68"/>
      <c r="AF952" s="68"/>
      <c r="AG952" s="68"/>
      <c r="AH952" s="68"/>
      <c r="AI952" s="57"/>
      <c r="AJ952" s="168"/>
      <c r="AK952" s="162">
        <v>2021</v>
      </c>
      <c r="AL952" s="168"/>
      <c r="AM952" s="168"/>
    </row>
    <row r="953" spans="1:39" s="233" customFormat="1">
      <c r="A953" s="193" t="s">
        <v>887</v>
      </c>
      <c r="B953" s="181" t="s">
        <v>193</v>
      </c>
      <c r="C953" s="181"/>
      <c r="D953" s="181"/>
      <c r="E953" s="182" t="s">
        <v>1225</v>
      </c>
      <c r="F953" s="182"/>
      <c r="G953" s="219" t="s">
        <v>81</v>
      </c>
      <c r="H953" s="219"/>
      <c r="I953" s="219"/>
      <c r="J953" s="184" t="s">
        <v>82</v>
      </c>
      <c r="K953" s="201"/>
      <c r="L953" s="287">
        <f>SUM(L955:L961)</f>
        <v>28000000</v>
      </c>
      <c r="M953" s="288">
        <f>SUM(M955:M961)</f>
        <v>28000000</v>
      </c>
      <c r="N953" s="289">
        <f t="shared" ref="N953:Q953" si="200">SUM(N955:N961)</f>
        <v>0</v>
      </c>
      <c r="O953" s="289">
        <f t="shared" si="200"/>
        <v>0</v>
      </c>
      <c r="P953" s="289">
        <f t="shared" si="200"/>
        <v>0</v>
      </c>
      <c r="Q953" s="289">
        <f t="shared" si="200"/>
        <v>0</v>
      </c>
      <c r="R953" s="187">
        <f t="shared" ref="R953:R954" si="201">L953-M953-N953-O953-P953-Q953</f>
        <v>0</v>
      </c>
      <c r="S953" s="235"/>
      <c r="T953" s="235"/>
      <c r="U953" s="235"/>
      <c r="V953" s="200"/>
      <c r="W953" s="199"/>
      <c r="X953" s="199"/>
      <c r="Y953" s="199"/>
      <c r="Z953" s="199"/>
      <c r="AA953" s="199"/>
      <c r="AB953" s="199"/>
      <c r="AC953" s="199"/>
      <c r="AD953" s="199"/>
      <c r="AE953" s="199"/>
      <c r="AF953" s="199"/>
      <c r="AG953" s="199"/>
      <c r="AH953" s="199"/>
      <c r="AI953" s="231"/>
      <c r="AJ953" s="187">
        <f>SUM(AJ955:AJ961)</f>
        <v>0</v>
      </c>
      <c r="AK953" s="185"/>
      <c r="AL953" s="196"/>
      <c r="AM953" s="197"/>
    </row>
    <row r="954" spans="1:39" s="233" customFormat="1">
      <c r="A954" s="193" t="s">
        <v>887</v>
      </c>
      <c r="B954" s="193"/>
      <c r="C954" s="193"/>
      <c r="D954" s="193"/>
      <c r="E954" s="182" t="s">
        <v>1225</v>
      </c>
      <c r="F954" s="182"/>
      <c r="G954" s="219" t="s">
        <v>83</v>
      </c>
      <c r="H954" s="220"/>
      <c r="I954" s="220"/>
      <c r="J954" s="190" t="s">
        <v>82</v>
      </c>
      <c r="K954" s="201"/>
      <c r="L954" s="331"/>
      <c r="M954" s="332"/>
      <c r="N954" s="333"/>
      <c r="O954" s="340"/>
      <c r="P954" s="340"/>
      <c r="Q954" s="340"/>
      <c r="R954" s="187">
        <f t="shared" si="201"/>
        <v>0</v>
      </c>
      <c r="S954" s="235"/>
      <c r="T954" s="235"/>
      <c r="U954" s="235"/>
      <c r="V954" s="200"/>
      <c r="W954" s="199"/>
      <c r="X954" s="199"/>
      <c r="Y954" s="199"/>
      <c r="Z954" s="199"/>
      <c r="AA954" s="199"/>
      <c r="AB954" s="199"/>
      <c r="AC954" s="199"/>
      <c r="AD954" s="199"/>
      <c r="AE954" s="199"/>
      <c r="AF954" s="199"/>
      <c r="AG954" s="199"/>
      <c r="AH954" s="199"/>
      <c r="AI954" s="231"/>
      <c r="AJ954" s="185"/>
      <c r="AK954" s="185"/>
      <c r="AL954" s="196"/>
      <c r="AM954" s="197"/>
    </row>
    <row r="955" spans="1:39" s="47" customFormat="1" ht="49.5">
      <c r="A955" s="72" t="s">
        <v>887</v>
      </c>
      <c r="B955" s="72"/>
      <c r="C955" s="72"/>
      <c r="D955" s="72"/>
      <c r="E955" s="120"/>
      <c r="F955" s="120"/>
      <c r="G955" s="154" t="s">
        <v>84</v>
      </c>
      <c r="H955" s="154" t="s">
        <v>30</v>
      </c>
      <c r="I955" s="154" t="s">
        <v>31</v>
      </c>
      <c r="J955" s="125" t="s">
        <v>32</v>
      </c>
      <c r="K955" s="157" t="s">
        <v>1432</v>
      </c>
      <c r="L955" s="336">
        <f t="shared" ref="L955:L961" si="202">SUM(M955:Q955)</f>
        <v>10000000</v>
      </c>
      <c r="M955" s="337">
        <f>15000000-5000000</f>
        <v>10000000</v>
      </c>
      <c r="N955" s="338"/>
      <c r="O955" s="339"/>
      <c r="P955" s="339"/>
      <c r="Q955" s="339"/>
      <c r="R955" s="90"/>
      <c r="S955" s="6"/>
      <c r="T955" s="6"/>
      <c r="U955" s="6"/>
      <c r="V955" s="10"/>
      <c r="W955" s="68"/>
      <c r="X955" s="68"/>
      <c r="Y955" s="68"/>
      <c r="Z955" s="68"/>
      <c r="AA955" s="68"/>
      <c r="AB955" s="68"/>
      <c r="AC955" s="68"/>
      <c r="AD955" s="68"/>
      <c r="AE955" s="68"/>
      <c r="AF955" s="68"/>
      <c r="AG955" s="68"/>
      <c r="AH955" s="68"/>
      <c r="AI955" s="57"/>
      <c r="AJ955" s="156"/>
      <c r="AK955" s="162">
        <v>2021</v>
      </c>
      <c r="AL955" s="158"/>
      <c r="AM955" s="159"/>
    </row>
    <row r="956" spans="1:39" s="47" customFormat="1">
      <c r="A956" s="72" t="s">
        <v>887</v>
      </c>
      <c r="B956" s="72"/>
      <c r="C956" s="72"/>
      <c r="D956" s="72"/>
      <c r="E956" s="120"/>
      <c r="F956" s="120"/>
      <c r="G956" s="154" t="s">
        <v>84</v>
      </c>
      <c r="H956" s="154" t="s">
        <v>30</v>
      </c>
      <c r="I956" s="154" t="s">
        <v>31</v>
      </c>
      <c r="J956" s="125" t="s">
        <v>32</v>
      </c>
      <c r="K956" s="157" t="s">
        <v>189</v>
      </c>
      <c r="L956" s="336">
        <f t="shared" si="202"/>
        <v>5000000</v>
      </c>
      <c r="M956" s="337">
        <v>5000000</v>
      </c>
      <c r="N956" s="338"/>
      <c r="O956" s="339"/>
      <c r="P956" s="339"/>
      <c r="Q956" s="339"/>
      <c r="R956" s="90"/>
      <c r="S956" s="6"/>
      <c r="T956" s="6"/>
      <c r="U956" s="6"/>
      <c r="V956" s="10"/>
      <c r="W956" s="68"/>
      <c r="X956" s="68"/>
      <c r="Y956" s="68"/>
      <c r="Z956" s="68"/>
      <c r="AA956" s="68"/>
      <c r="AB956" s="68"/>
      <c r="AC956" s="68"/>
      <c r="AD956" s="68"/>
      <c r="AE956" s="68"/>
      <c r="AF956" s="68"/>
      <c r="AG956" s="68"/>
      <c r="AH956" s="68"/>
      <c r="AI956" s="57"/>
      <c r="AJ956" s="156"/>
      <c r="AK956" s="162">
        <v>2021</v>
      </c>
      <c r="AL956" s="158"/>
      <c r="AM956" s="159"/>
    </row>
    <row r="957" spans="1:39" s="47" customFormat="1" ht="66">
      <c r="A957" s="72" t="s">
        <v>887</v>
      </c>
      <c r="B957" s="72"/>
      <c r="C957" s="72"/>
      <c r="D957" s="72"/>
      <c r="E957" s="120"/>
      <c r="F957" s="120"/>
      <c r="G957" s="154" t="s">
        <v>84</v>
      </c>
      <c r="H957" s="154" t="s">
        <v>30</v>
      </c>
      <c r="I957" s="154" t="s">
        <v>31</v>
      </c>
      <c r="J957" s="125" t="s">
        <v>32</v>
      </c>
      <c r="K957" s="157" t="s">
        <v>1433</v>
      </c>
      <c r="L957" s="336">
        <f t="shared" si="202"/>
        <v>4500000</v>
      </c>
      <c r="M957" s="337">
        <v>4500000</v>
      </c>
      <c r="N957" s="338"/>
      <c r="O957" s="339"/>
      <c r="P957" s="339"/>
      <c r="Q957" s="339"/>
      <c r="R957" s="90"/>
      <c r="S957" s="6"/>
      <c r="T957" s="6"/>
      <c r="U957" s="6"/>
      <c r="V957" s="10"/>
      <c r="W957" s="68"/>
      <c r="X957" s="68"/>
      <c r="Y957" s="68"/>
      <c r="Z957" s="68"/>
      <c r="AA957" s="68"/>
      <c r="AB957" s="68"/>
      <c r="AC957" s="68"/>
      <c r="AD957" s="68"/>
      <c r="AE957" s="68"/>
      <c r="AF957" s="68"/>
      <c r="AG957" s="68"/>
      <c r="AH957" s="68"/>
      <c r="AI957" s="57"/>
      <c r="AJ957" s="156"/>
      <c r="AK957" s="162">
        <v>2021</v>
      </c>
      <c r="AL957" s="158"/>
      <c r="AM957" s="159"/>
    </row>
    <row r="958" spans="1:39" s="47" customFormat="1" ht="66">
      <c r="A958" s="72" t="s">
        <v>887</v>
      </c>
      <c r="B958" s="72"/>
      <c r="C958" s="72"/>
      <c r="D958" s="72"/>
      <c r="E958" s="120"/>
      <c r="F958" s="120"/>
      <c r="G958" s="154" t="s">
        <v>84</v>
      </c>
      <c r="H958" s="154" t="s">
        <v>30</v>
      </c>
      <c r="I958" s="154" t="s">
        <v>31</v>
      </c>
      <c r="J958" s="125" t="s">
        <v>32</v>
      </c>
      <c r="K958" s="157" t="s">
        <v>1434</v>
      </c>
      <c r="L958" s="336">
        <f t="shared" si="202"/>
        <v>1000000</v>
      </c>
      <c r="M958" s="337">
        <v>1000000</v>
      </c>
      <c r="N958" s="338"/>
      <c r="O958" s="339"/>
      <c r="P958" s="339"/>
      <c r="Q958" s="339"/>
      <c r="R958" s="90"/>
      <c r="S958" s="6"/>
      <c r="T958" s="6"/>
      <c r="U958" s="6"/>
      <c r="V958" s="10"/>
      <c r="W958" s="68"/>
      <c r="X958" s="68"/>
      <c r="Y958" s="68"/>
      <c r="Z958" s="68"/>
      <c r="AA958" s="68"/>
      <c r="AB958" s="68"/>
      <c r="AC958" s="68"/>
      <c r="AD958" s="68"/>
      <c r="AE958" s="68"/>
      <c r="AF958" s="68"/>
      <c r="AG958" s="68"/>
      <c r="AH958" s="68"/>
      <c r="AI958" s="57"/>
      <c r="AJ958" s="156"/>
      <c r="AK958" s="162">
        <v>2021</v>
      </c>
      <c r="AL958" s="158"/>
      <c r="AM958" s="159"/>
    </row>
    <row r="959" spans="1:39" s="47" customFormat="1" ht="82.5">
      <c r="A959" s="72" t="s">
        <v>887</v>
      </c>
      <c r="B959" s="72"/>
      <c r="C959" s="72"/>
      <c r="D959" s="72"/>
      <c r="E959" s="120"/>
      <c r="F959" s="120"/>
      <c r="G959" s="154" t="s">
        <v>84</v>
      </c>
      <c r="H959" s="154" t="s">
        <v>30</v>
      </c>
      <c r="I959" s="154" t="s">
        <v>31</v>
      </c>
      <c r="J959" s="125" t="s">
        <v>32</v>
      </c>
      <c r="K959" s="157" t="s">
        <v>1435</v>
      </c>
      <c r="L959" s="336">
        <f t="shared" si="202"/>
        <v>1800000</v>
      </c>
      <c r="M959" s="337">
        <v>1800000</v>
      </c>
      <c r="N959" s="338"/>
      <c r="O959" s="339"/>
      <c r="P959" s="339"/>
      <c r="Q959" s="339"/>
      <c r="R959" s="90"/>
      <c r="S959" s="6"/>
      <c r="T959" s="6"/>
      <c r="U959" s="6"/>
      <c r="V959" s="10"/>
      <c r="W959" s="68"/>
      <c r="X959" s="68"/>
      <c r="Y959" s="68"/>
      <c r="Z959" s="68"/>
      <c r="AA959" s="68"/>
      <c r="AB959" s="68"/>
      <c r="AC959" s="68"/>
      <c r="AD959" s="68"/>
      <c r="AE959" s="68"/>
      <c r="AF959" s="68"/>
      <c r="AG959" s="68"/>
      <c r="AH959" s="68"/>
      <c r="AI959" s="57"/>
      <c r="AJ959" s="156"/>
      <c r="AK959" s="162">
        <v>2021</v>
      </c>
      <c r="AL959" s="158"/>
      <c r="AM959" s="159"/>
    </row>
    <row r="960" spans="1:39" s="47" customFormat="1" ht="49.5">
      <c r="A960" s="72" t="s">
        <v>887</v>
      </c>
      <c r="B960" s="72"/>
      <c r="C960" s="72"/>
      <c r="D960" s="72"/>
      <c r="E960" s="120"/>
      <c r="F960" s="120"/>
      <c r="G960" s="154" t="s">
        <v>84</v>
      </c>
      <c r="H960" s="154" t="s">
        <v>30</v>
      </c>
      <c r="I960" s="154" t="s">
        <v>31</v>
      </c>
      <c r="J960" s="125" t="s">
        <v>32</v>
      </c>
      <c r="K960" s="157" t="s">
        <v>1436</v>
      </c>
      <c r="L960" s="336">
        <f t="shared" si="202"/>
        <v>1700000</v>
      </c>
      <c r="M960" s="337">
        <v>1700000</v>
      </c>
      <c r="N960" s="338"/>
      <c r="O960" s="339"/>
      <c r="P960" s="339"/>
      <c r="Q960" s="339"/>
      <c r="R960" s="90"/>
      <c r="S960" s="6"/>
      <c r="T960" s="6"/>
      <c r="U960" s="6"/>
      <c r="V960" s="10"/>
      <c r="W960" s="68"/>
      <c r="X960" s="68"/>
      <c r="Y960" s="68"/>
      <c r="Z960" s="68"/>
      <c r="AA960" s="68"/>
      <c r="AB960" s="68"/>
      <c r="AC960" s="68"/>
      <c r="AD960" s="68"/>
      <c r="AE960" s="68"/>
      <c r="AF960" s="68"/>
      <c r="AG960" s="68"/>
      <c r="AH960" s="68"/>
      <c r="AI960" s="57"/>
      <c r="AJ960" s="156"/>
      <c r="AK960" s="162">
        <v>2021</v>
      </c>
      <c r="AL960" s="158"/>
      <c r="AM960" s="159"/>
    </row>
    <row r="961" spans="1:39" s="47" customFormat="1" ht="66">
      <c r="A961" s="72" t="s">
        <v>887</v>
      </c>
      <c r="B961" s="72"/>
      <c r="C961" s="72"/>
      <c r="D961" s="72"/>
      <c r="E961" s="120"/>
      <c r="F961" s="120"/>
      <c r="G961" s="154" t="s">
        <v>84</v>
      </c>
      <c r="H961" s="154" t="s">
        <v>30</v>
      </c>
      <c r="I961" s="154" t="s">
        <v>31</v>
      </c>
      <c r="J961" s="125" t="s">
        <v>32</v>
      </c>
      <c r="K961" s="157" t="s">
        <v>1437</v>
      </c>
      <c r="L961" s="336">
        <f t="shared" si="202"/>
        <v>4000000</v>
      </c>
      <c r="M961" s="337">
        <f>5500000-1500000</f>
        <v>4000000</v>
      </c>
      <c r="N961" s="338"/>
      <c r="O961" s="339"/>
      <c r="P961" s="339"/>
      <c r="Q961" s="339"/>
      <c r="R961" s="90"/>
      <c r="S961" s="6"/>
      <c r="T961" s="6"/>
      <c r="U961" s="6"/>
      <c r="V961" s="10"/>
      <c r="W961" s="68"/>
      <c r="X961" s="68"/>
      <c r="Y961" s="68"/>
      <c r="Z961" s="68"/>
      <c r="AA961" s="68"/>
      <c r="AB961" s="68"/>
      <c r="AC961" s="68"/>
      <c r="AD961" s="68"/>
      <c r="AE961" s="68"/>
      <c r="AF961" s="68"/>
      <c r="AG961" s="68"/>
      <c r="AH961" s="68"/>
      <c r="AI961" s="57"/>
      <c r="AJ961" s="156"/>
      <c r="AK961" s="162">
        <v>2021</v>
      </c>
      <c r="AL961" s="158"/>
      <c r="AM961" s="159"/>
    </row>
    <row r="962" spans="1:39" s="233" customFormat="1">
      <c r="A962" s="193" t="s">
        <v>892</v>
      </c>
      <c r="B962" s="181" t="s">
        <v>193</v>
      </c>
      <c r="C962" s="181"/>
      <c r="D962" s="181"/>
      <c r="E962" s="182" t="s">
        <v>1225</v>
      </c>
      <c r="F962" s="182"/>
      <c r="G962" s="184">
        <v>2700000</v>
      </c>
      <c r="H962" s="184"/>
      <c r="I962" s="184"/>
      <c r="J962" s="221" t="s">
        <v>116</v>
      </c>
      <c r="K962" s="222"/>
      <c r="L962" s="287">
        <f>SUM(L964:L971)</f>
        <v>38000000</v>
      </c>
      <c r="M962" s="288">
        <f>SUM(M964:M971)</f>
        <v>38000000</v>
      </c>
      <c r="N962" s="289">
        <f t="shared" ref="N962:Q962" si="203">SUM(N964:N971)</f>
        <v>0</v>
      </c>
      <c r="O962" s="289">
        <f t="shared" si="203"/>
        <v>0</v>
      </c>
      <c r="P962" s="289">
        <f t="shared" si="203"/>
        <v>0</v>
      </c>
      <c r="Q962" s="289">
        <f t="shared" si="203"/>
        <v>0</v>
      </c>
      <c r="R962" s="187">
        <f t="shared" ref="R962:R963" si="204">L962-M962-N962-O962-P962-Q962</f>
        <v>0</v>
      </c>
      <c r="S962" s="235"/>
      <c r="T962" s="235"/>
      <c r="U962" s="235"/>
      <c r="V962" s="200"/>
      <c r="W962" s="199"/>
      <c r="X962" s="199"/>
      <c r="Y962" s="199"/>
      <c r="Z962" s="199"/>
      <c r="AA962" s="199"/>
      <c r="AB962" s="199"/>
      <c r="AC962" s="199"/>
      <c r="AD962" s="199"/>
      <c r="AE962" s="199"/>
      <c r="AF962" s="199"/>
      <c r="AG962" s="199"/>
      <c r="AH962" s="199"/>
      <c r="AI962" s="231"/>
      <c r="AJ962" s="187">
        <f>SUM(AJ964:AJ971)</f>
        <v>0</v>
      </c>
      <c r="AK962" s="185"/>
      <c r="AL962" s="196"/>
      <c r="AM962" s="197"/>
    </row>
    <row r="963" spans="1:39" s="233" customFormat="1">
      <c r="A963" s="193" t="s">
        <v>892</v>
      </c>
      <c r="B963" s="224"/>
      <c r="C963" s="224"/>
      <c r="D963" s="224"/>
      <c r="E963" s="225" t="s">
        <v>1225</v>
      </c>
      <c r="F963" s="225"/>
      <c r="G963" s="184">
        <v>2710000</v>
      </c>
      <c r="H963" s="184"/>
      <c r="I963" s="219"/>
      <c r="J963" s="222" t="s">
        <v>116</v>
      </c>
      <c r="K963" s="226"/>
      <c r="L963" s="331"/>
      <c r="M963" s="332"/>
      <c r="N963" s="333"/>
      <c r="O963" s="340"/>
      <c r="P963" s="340"/>
      <c r="Q963" s="340"/>
      <c r="R963" s="187">
        <f t="shared" si="204"/>
        <v>0</v>
      </c>
      <c r="S963" s="235"/>
      <c r="T963" s="235"/>
      <c r="U963" s="235"/>
      <c r="V963" s="200"/>
      <c r="W963" s="199"/>
      <c r="X963" s="199"/>
      <c r="Y963" s="199"/>
      <c r="Z963" s="199"/>
      <c r="AA963" s="199"/>
      <c r="AB963" s="199"/>
      <c r="AC963" s="199"/>
      <c r="AD963" s="199"/>
      <c r="AE963" s="199"/>
      <c r="AF963" s="199"/>
      <c r="AG963" s="199"/>
      <c r="AH963" s="199"/>
      <c r="AI963" s="231"/>
      <c r="AJ963" s="185"/>
      <c r="AK963" s="185"/>
      <c r="AL963" s="197"/>
      <c r="AM963" s="197"/>
    </row>
    <row r="964" spans="1:39" s="47" customFormat="1" ht="49.5">
      <c r="A964" s="72" t="s">
        <v>892</v>
      </c>
      <c r="B964" s="35"/>
      <c r="C964" s="35"/>
      <c r="D964" s="35"/>
      <c r="E964" s="37"/>
      <c r="F964" s="37"/>
      <c r="G964" s="154" t="s">
        <v>120</v>
      </c>
      <c r="H964" s="154" t="s">
        <v>30</v>
      </c>
      <c r="I964" s="154" t="s">
        <v>31</v>
      </c>
      <c r="J964" s="125" t="s">
        <v>32</v>
      </c>
      <c r="K964" s="157" t="s">
        <v>1438</v>
      </c>
      <c r="L964" s="336">
        <f t="shared" ref="L964:L971" si="205">SUM(M964:Q964)</f>
        <v>5208160.18</v>
      </c>
      <c r="M964" s="337">
        <v>5208160.18</v>
      </c>
      <c r="N964" s="338"/>
      <c r="O964" s="339"/>
      <c r="P964" s="339"/>
      <c r="Q964" s="339"/>
      <c r="R964" s="90"/>
      <c r="S964" s="6"/>
      <c r="T964" s="6"/>
      <c r="U964" s="6"/>
      <c r="V964" s="10"/>
      <c r="W964" s="68"/>
      <c r="X964" s="68"/>
      <c r="Y964" s="68"/>
      <c r="Z964" s="68"/>
      <c r="AA964" s="68"/>
      <c r="AB964" s="68"/>
      <c r="AC964" s="68"/>
      <c r="AD964" s="68"/>
      <c r="AE964" s="68"/>
      <c r="AF964" s="68"/>
      <c r="AG964" s="68"/>
      <c r="AH964" s="68"/>
      <c r="AI964" s="57"/>
      <c r="AJ964" s="156"/>
      <c r="AK964" s="162">
        <v>2021</v>
      </c>
      <c r="AL964" s="159"/>
      <c r="AM964" s="159"/>
    </row>
    <row r="965" spans="1:39" s="47" customFormat="1" ht="49.5">
      <c r="A965" s="72" t="s">
        <v>892</v>
      </c>
      <c r="B965" s="35"/>
      <c r="C965" s="35"/>
      <c r="D965" s="35"/>
      <c r="E965" s="37"/>
      <c r="F965" s="37"/>
      <c r="G965" s="154" t="s">
        <v>120</v>
      </c>
      <c r="H965" s="154" t="s">
        <v>30</v>
      </c>
      <c r="I965" s="154" t="s">
        <v>31</v>
      </c>
      <c r="J965" s="125" t="s">
        <v>32</v>
      </c>
      <c r="K965" s="157" t="s">
        <v>1439</v>
      </c>
      <c r="L965" s="336">
        <f t="shared" si="205"/>
        <v>2500000</v>
      </c>
      <c r="M965" s="337">
        <v>2500000</v>
      </c>
      <c r="N965" s="338"/>
      <c r="O965" s="339"/>
      <c r="P965" s="339"/>
      <c r="Q965" s="339"/>
      <c r="R965" s="90"/>
      <c r="S965" s="6"/>
      <c r="T965" s="6"/>
      <c r="U965" s="6"/>
      <c r="V965" s="10"/>
      <c r="W965" s="68"/>
      <c r="X965" s="68"/>
      <c r="Y965" s="68"/>
      <c r="Z965" s="68"/>
      <c r="AA965" s="68"/>
      <c r="AB965" s="68"/>
      <c r="AC965" s="68"/>
      <c r="AD965" s="68"/>
      <c r="AE965" s="68"/>
      <c r="AF965" s="68"/>
      <c r="AG965" s="68"/>
      <c r="AH965" s="68"/>
      <c r="AI965" s="57"/>
      <c r="AJ965" s="156"/>
      <c r="AK965" s="162">
        <v>2021</v>
      </c>
      <c r="AL965" s="159"/>
      <c r="AM965" s="159"/>
    </row>
    <row r="966" spans="1:39" s="47" customFormat="1" ht="49.5">
      <c r="A966" s="72" t="s">
        <v>892</v>
      </c>
      <c r="B966" s="35"/>
      <c r="C966" s="35"/>
      <c r="D966" s="35"/>
      <c r="E966" s="37"/>
      <c r="F966" s="37"/>
      <c r="G966" s="154" t="s">
        <v>120</v>
      </c>
      <c r="H966" s="154" t="s">
        <v>30</v>
      </c>
      <c r="I966" s="154" t="s">
        <v>31</v>
      </c>
      <c r="J966" s="125" t="s">
        <v>32</v>
      </c>
      <c r="K966" s="157" t="s">
        <v>1440</v>
      </c>
      <c r="L966" s="336">
        <f t="shared" si="205"/>
        <v>156380.06999999983</v>
      </c>
      <c r="M966" s="337">
        <v>156380.06999999983</v>
      </c>
      <c r="N966" s="338"/>
      <c r="O966" s="339"/>
      <c r="P966" s="339"/>
      <c r="Q966" s="339"/>
      <c r="R966" s="90"/>
      <c r="S966" s="6"/>
      <c r="T966" s="6"/>
      <c r="U966" s="6"/>
      <c r="V966" s="10"/>
      <c r="W966" s="68"/>
      <c r="X966" s="68"/>
      <c r="Y966" s="68"/>
      <c r="Z966" s="68"/>
      <c r="AA966" s="68"/>
      <c r="AB966" s="68"/>
      <c r="AC966" s="68"/>
      <c r="AD966" s="68"/>
      <c r="AE966" s="68"/>
      <c r="AF966" s="68"/>
      <c r="AG966" s="68"/>
      <c r="AH966" s="68"/>
      <c r="AI966" s="57"/>
      <c r="AJ966" s="156"/>
      <c r="AK966" s="162">
        <v>2021</v>
      </c>
      <c r="AL966" s="159"/>
      <c r="AM966" s="159"/>
    </row>
    <row r="967" spans="1:39" s="47" customFormat="1" ht="66">
      <c r="A967" s="72" t="s">
        <v>892</v>
      </c>
      <c r="B967" s="35"/>
      <c r="C967" s="35"/>
      <c r="D967" s="35"/>
      <c r="E967" s="37"/>
      <c r="F967" s="37"/>
      <c r="G967" s="154" t="s">
        <v>120</v>
      </c>
      <c r="H967" s="154" t="s">
        <v>30</v>
      </c>
      <c r="I967" s="154" t="s">
        <v>31</v>
      </c>
      <c r="J967" s="125" t="s">
        <v>32</v>
      </c>
      <c r="K967" s="157" t="s">
        <v>1441</v>
      </c>
      <c r="L967" s="336">
        <f t="shared" si="205"/>
        <v>603206.6399999999</v>
      </c>
      <c r="M967" s="337">
        <v>603206.6399999999</v>
      </c>
      <c r="N967" s="338"/>
      <c r="O967" s="339"/>
      <c r="P967" s="339"/>
      <c r="Q967" s="339"/>
      <c r="R967" s="90"/>
      <c r="S967" s="6"/>
      <c r="T967" s="6"/>
      <c r="U967" s="6"/>
      <c r="V967" s="10"/>
      <c r="W967" s="68"/>
      <c r="X967" s="68"/>
      <c r="Y967" s="68"/>
      <c r="Z967" s="68"/>
      <c r="AA967" s="68"/>
      <c r="AB967" s="68"/>
      <c r="AC967" s="68"/>
      <c r="AD967" s="68"/>
      <c r="AE967" s="68"/>
      <c r="AF967" s="68"/>
      <c r="AG967" s="68"/>
      <c r="AH967" s="68"/>
      <c r="AI967" s="57"/>
      <c r="AJ967" s="156"/>
      <c r="AK967" s="162">
        <v>2021</v>
      </c>
      <c r="AL967" s="159"/>
      <c r="AM967" s="159"/>
    </row>
    <row r="968" spans="1:39" s="47" customFormat="1" ht="66">
      <c r="A968" s="72" t="s">
        <v>892</v>
      </c>
      <c r="B968" s="35"/>
      <c r="C968" s="35"/>
      <c r="D968" s="35"/>
      <c r="E968" s="37"/>
      <c r="F968" s="37"/>
      <c r="G968" s="154" t="s">
        <v>120</v>
      </c>
      <c r="H968" s="154" t="s">
        <v>30</v>
      </c>
      <c r="I968" s="154" t="s">
        <v>31</v>
      </c>
      <c r="J968" s="125" t="s">
        <v>32</v>
      </c>
      <c r="K968" s="157" t="s">
        <v>1442</v>
      </c>
      <c r="L968" s="336">
        <f t="shared" si="205"/>
        <v>1532253.1099999999</v>
      </c>
      <c r="M968" s="337">
        <v>1532253.1099999999</v>
      </c>
      <c r="N968" s="338"/>
      <c r="O968" s="339"/>
      <c r="P968" s="339"/>
      <c r="Q968" s="339"/>
      <c r="R968" s="90"/>
      <c r="S968" s="6"/>
      <c r="T968" s="6"/>
      <c r="U968" s="6"/>
      <c r="V968" s="10"/>
      <c r="W968" s="68"/>
      <c r="X968" s="68"/>
      <c r="Y968" s="68"/>
      <c r="Z968" s="68"/>
      <c r="AA968" s="68"/>
      <c r="AB968" s="68"/>
      <c r="AC968" s="68"/>
      <c r="AD968" s="68"/>
      <c r="AE968" s="68"/>
      <c r="AF968" s="68"/>
      <c r="AG968" s="68"/>
      <c r="AH968" s="68"/>
      <c r="AI968" s="57"/>
      <c r="AJ968" s="156"/>
      <c r="AK968" s="162">
        <v>2021</v>
      </c>
      <c r="AL968" s="159"/>
      <c r="AM968" s="159"/>
    </row>
    <row r="969" spans="1:39" s="47" customFormat="1" ht="66">
      <c r="A969" s="72" t="s">
        <v>892</v>
      </c>
      <c r="B969" s="32"/>
      <c r="C969" s="32"/>
      <c r="D969" s="32"/>
      <c r="E969" s="37"/>
      <c r="F969" s="37"/>
      <c r="G969" s="154">
        <v>2717670</v>
      </c>
      <c r="H969" s="154">
        <v>7670</v>
      </c>
      <c r="I969" s="154" t="s">
        <v>31</v>
      </c>
      <c r="J969" s="125" t="s">
        <v>32</v>
      </c>
      <c r="K969" s="157" t="s">
        <v>1443</v>
      </c>
      <c r="L969" s="336">
        <f t="shared" si="205"/>
        <v>7000000</v>
      </c>
      <c r="M969" s="337">
        <v>7000000</v>
      </c>
      <c r="N969" s="338"/>
      <c r="O969" s="339"/>
      <c r="P969" s="339"/>
      <c r="Q969" s="339"/>
      <c r="R969" s="90"/>
      <c r="S969" s="6"/>
      <c r="T969" s="6"/>
      <c r="U969" s="6"/>
      <c r="V969" s="10"/>
      <c r="W969" s="68"/>
      <c r="X969" s="68"/>
      <c r="Y969" s="68"/>
      <c r="Z969" s="68"/>
      <c r="AA969" s="68"/>
      <c r="AB969" s="68"/>
      <c r="AC969" s="68"/>
      <c r="AD969" s="68"/>
      <c r="AE969" s="68"/>
      <c r="AF969" s="68"/>
      <c r="AG969" s="68"/>
      <c r="AH969" s="68"/>
      <c r="AI969" s="57"/>
      <c r="AJ969" s="168"/>
      <c r="AK969" s="162">
        <v>2021</v>
      </c>
      <c r="AL969" s="168"/>
      <c r="AM969" s="168"/>
    </row>
    <row r="970" spans="1:39" s="47" customFormat="1" ht="49.5">
      <c r="A970" s="72" t="s">
        <v>892</v>
      </c>
      <c r="B970" s="32"/>
      <c r="C970" s="32"/>
      <c r="D970" s="32"/>
      <c r="E970" s="37"/>
      <c r="F970" s="37"/>
      <c r="G970" s="154">
        <v>2717670</v>
      </c>
      <c r="H970" s="154">
        <v>7670</v>
      </c>
      <c r="I970" s="154" t="s">
        <v>31</v>
      </c>
      <c r="J970" s="125" t="s">
        <v>32</v>
      </c>
      <c r="K970" s="157" t="s">
        <v>1444</v>
      </c>
      <c r="L970" s="336">
        <f t="shared" si="205"/>
        <v>8000000</v>
      </c>
      <c r="M970" s="337">
        <v>8000000</v>
      </c>
      <c r="N970" s="338"/>
      <c r="O970" s="339"/>
      <c r="P970" s="339"/>
      <c r="Q970" s="339"/>
      <c r="R970" s="90"/>
      <c r="S970" s="6"/>
      <c r="T970" s="6"/>
      <c r="U970" s="6"/>
      <c r="V970" s="10"/>
      <c r="W970" s="68"/>
      <c r="X970" s="68"/>
      <c r="Y970" s="68"/>
      <c r="Z970" s="68"/>
      <c r="AA970" s="68"/>
      <c r="AB970" s="68"/>
      <c r="AC970" s="68"/>
      <c r="AD970" s="68"/>
      <c r="AE970" s="68"/>
      <c r="AF970" s="68"/>
      <c r="AG970" s="68"/>
      <c r="AH970" s="68"/>
      <c r="AI970" s="57"/>
      <c r="AJ970" s="168"/>
      <c r="AK970" s="162">
        <v>2021</v>
      </c>
      <c r="AL970" s="168"/>
      <c r="AM970" s="168"/>
    </row>
    <row r="971" spans="1:39" s="47" customFormat="1" ht="49.5">
      <c r="A971" s="72" t="s">
        <v>892</v>
      </c>
      <c r="B971" s="32"/>
      <c r="C971" s="32"/>
      <c r="D971" s="32"/>
      <c r="E971" s="37"/>
      <c r="F971" s="37"/>
      <c r="G971" s="154">
        <v>2717670</v>
      </c>
      <c r="H971" s="154">
        <v>7670</v>
      </c>
      <c r="I971" s="154" t="s">
        <v>31</v>
      </c>
      <c r="J971" s="125" t="s">
        <v>32</v>
      </c>
      <c r="K971" s="157" t="s">
        <v>1445</v>
      </c>
      <c r="L971" s="336">
        <f t="shared" si="205"/>
        <v>13000000</v>
      </c>
      <c r="M971" s="337">
        <v>13000000</v>
      </c>
      <c r="N971" s="338"/>
      <c r="O971" s="339"/>
      <c r="P971" s="339"/>
      <c r="Q971" s="339"/>
      <c r="R971" s="90"/>
      <c r="S971" s="6"/>
      <c r="T971" s="6"/>
      <c r="U971" s="6"/>
      <c r="V971" s="10"/>
      <c r="W971" s="68"/>
      <c r="X971" s="68"/>
      <c r="Y971" s="68"/>
      <c r="Z971" s="68"/>
      <c r="AA971" s="68"/>
      <c r="AB971" s="68"/>
      <c r="AC971" s="68"/>
      <c r="AD971" s="68"/>
      <c r="AE971" s="68"/>
      <c r="AF971" s="68"/>
      <c r="AG971" s="68"/>
      <c r="AH971" s="68"/>
      <c r="AI971" s="57"/>
      <c r="AJ971" s="168"/>
      <c r="AK971" s="162">
        <v>2021</v>
      </c>
      <c r="AL971" s="168"/>
      <c r="AM971" s="168"/>
    </row>
    <row r="972" spans="1:39" s="233" customFormat="1" ht="33">
      <c r="A972" s="193"/>
      <c r="B972" s="234"/>
      <c r="C972" s="234"/>
      <c r="D972" s="234"/>
      <c r="E972" s="225"/>
      <c r="F972" s="225"/>
      <c r="G972" s="220"/>
      <c r="H972" s="220"/>
      <c r="I972" s="220"/>
      <c r="J972" s="209" t="s">
        <v>1446</v>
      </c>
      <c r="L972" s="287">
        <f>L973+L981+L986</f>
        <v>339520639</v>
      </c>
      <c r="M972" s="288">
        <f>M973+M981+M986</f>
        <v>339520639</v>
      </c>
      <c r="N972" s="289">
        <f t="shared" ref="N972:Q972" si="206">N973+N981+N986</f>
        <v>0</v>
      </c>
      <c r="O972" s="289">
        <f t="shared" si="206"/>
        <v>0</v>
      </c>
      <c r="P972" s="289">
        <f t="shared" si="206"/>
        <v>0</v>
      </c>
      <c r="Q972" s="289">
        <f t="shared" si="206"/>
        <v>0</v>
      </c>
      <c r="R972" s="187">
        <f t="shared" ref="R972:R974" si="207">L972-M972-N972-O972-P972-Q972</f>
        <v>0</v>
      </c>
      <c r="S972" s="235"/>
      <c r="T972" s="235"/>
      <c r="U972" s="235"/>
      <c r="V972" s="200"/>
      <c r="W972" s="199"/>
      <c r="X972" s="199"/>
      <c r="Y972" s="199"/>
      <c r="Z972" s="199"/>
      <c r="AA972" s="199"/>
      <c r="AB972" s="199"/>
      <c r="AC972" s="199"/>
      <c r="AD972" s="199"/>
      <c r="AE972" s="199"/>
      <c r="AF972" s="199"/>
      <c r="AG972" s="199"/>
      <c r="AH972" s="199"/>
      <c r="AI972" s="231"/>
      <c r="AJ972" s="187">
        <f>AJ973+AJ981+AJ986</f>
        <v>800</v>
      </c>
      <c r="AK972" s="232"/>
      <c r="AL972" s="232"/>
      <c r="AM972" s="232"/>
    </row>
    <row r="973" spans="1:39" s="233" customFormat="1" ht="33">
      <c r="A973" s="193" t="s">
        <v>666</v>
      </c>
      <c r="B973" s="234" t="s">
        <v>193</v>
      </c>
      <c r="C973" s="234"/>
      <c r="D973" s="234"/>
      <c r="E973" s="225"/>
      <c r="F973" s="225"/>
      <c r="G973" s="183" t="s">
        <v>65</v>
      </c>
      <c r="H973" s="183"/>
      <c r="I973" s="183"/>
      <c r="J973" s="184" t="s">
        <v>66</v>
      </c>
      <c r="K973" s="201"/>
      <c r="L973" s="287">
        <f>SUM(L975:L980)</f>
        <v>258000000</v>
      </c>
      <c r="M973" s="288">
        <f>SUM(M975:M980)</f>
        <v>258000000</v>
      </c>
      <c r="N973" s="289">
        <f t="shared" ref="N973:Q973" si="208">SUM(N975:N980)</f>
        <v>0</v>
      </c>
      <c r="O973" s="289">
        <f t="shared" si="208"/>
        <v>0</v>
      </c>
      <c r="P973" s="289">
        <f t="shared" si="208"/>
        <v>0</v>
      </c>
      <c r="Q973" s="289">
        <f t="shared" si="208"/>
        <v>0</v>
      </c>
      <c r="R973" s="187">
        <f t="shared" si="207"/>
        <v>0</v>
      </c>
      <c r="S973" s="235"/>
      <c r="T973" s="235"/>
      <c r="U973" s="235"/>
      <c r="V973" s="200"/>
      <c r="W973" s="199"/>
      <c r="X973" s="199"/>
      <c r="Y973" s="199"/>
      <c r="Z973" s="199"/>
      <c r="AA973" s="199"/>
      <c r="AB973" s="199"/>
      <c r="AC973" s="199"/>
      <c r="AD973" s="199"/>
      <c r="AE973" s="199"/>
      <c r="AF973" s="199"/>
      <c r="AG973" s="199"/>
      <c r="AH973" s="199"/>
      <c r="AI973" s="231"/>
      <c r="AJ973" s="187">
        <f>SUM(AJ975:AJ980)</f>
        <v>500</v>
      </c>
      <c r="AK973" s="232"/>
      <c r="AL973" s="232"/>
      <c r="AM973" s="232"/>
    </row>
    <row r="974" spans="1:39" s="233" customFormat="1" ht="33">
      <c r="A974" s="193" t="s">
        <v>666</v>
      </c>
      <c r="B974" s="234"/>
      <c r="C974" s="234"/>
      <c r="D974" s="234"/>
      <c r="E974" s="225"/>
      <c r="F974" s="225"/>
      <c r="G974" s="183" t="s">
        <v>67</v>
      </c>
      <c r="H974" s="183"/>
      <c r="I974" s="183"/>
      <c r="J974" s="190" t="s">
        <v>66</v>
      </c>
      <c r="K974" s="201"/>
      <c r="L974" s="331"/>
      <c r="M974" s="332"/>
      <c r="N974" s="333"/>
      <c r="O974" s="340"/>
      <c r="P974" s="340"/>
      <c r="Q974" s="340"/>
      <c r="R974" s="187">
        <f t="shared" si="207"/>
        <v>0</v>
      </c>
      <c r="S974" s="235"/>
      <c r="T974" s="235"/>
      <c r="U974" s="235"/>
      <c r="V974" s="200"/>
      <c r="W974" s="199"/>
      <c r="X974" s="199"/>
      <c r="Y974" s="199"/>
      <c r="Z974" s="199"/>
      <c r="AA974" s="199"/>
      <c r="AB974" s="199"/>
      <c r="AC974" s="199"/>
      <c r="AD974" s="199"/>
      <c r="AE974" s="199"/>
      <c r="AF974" s="199"/>
      <c r="AG974" s="199"/>
      <c r="AH974" s="199"/>
      <c r="AI974" s="231"/>
      <c r="AJ974" s="232"/>
      <c r="AK974" s="232"/>
      <c r="AL974" s="232"/>
      <c r="AM974" s="232"/>
    </row>
    <row r="975" spans="1:39" s="47" customFormat="1">
      <c r="A975" s="72" t="s">
        <v>666</v>
      </c>
      <c r="B975" s="32"/>
      <c r="C975" s="32"/>
      <c r="D975" s="32"/>
      <c r="E975" s="37"/>
      <c r="F975" s="37"/>
      <c r="G975" s="169" t="s">
        <v>68</v>
      </c>
      <c r="H975" s="169" t="s">
        <v>30</v>
      </c>
      <c r="I975" s="169" t="s">
        <v>31</v>
      </c>
      <c r="J975" s="161" t="s">
        <v>32</v>
      </c>
      <c r="K975" s="174" t="s">
        <v>189</v>
      </c>
      <c r="L975" s="336">
        <f t="shared" ref="L975:L980" si="209">SUM(M975:Q975)</f>
        <v>190000000</v>
      </c>
      <c r="M975" s="337">
        <v>190000000</v>
      </c>
      <c r="N975" s="338"/>
      <c r="O975" s="339"/>
      <c r="P975" s="339"/>
      <c r="Q975" s="339"/>
      <c r="R975" s="90"/>
      <c r="S975" s="6"/>
      <c r="T975" s="6"/>
      <c r="U975" s="6"/>
      <c r="V975" s="10"/>
      <c r="W975" s="68"/>
      <c r="X975" s="68"/>
      <c r="Y975" s="68"/>
      <c r="Z975" s="68"/>
      <c r="AA975" s="68"/>
      <c r="AB975" s="68"/>
      <c r="AC975" s="68"/>
      <c r="AD975" s="68"/>
      <c r="AE975" s="68"/>
      <c r="AF975" s="68"/>
      <c r="AG975" s="68"/>
      <c r="AH975" s="68"/>
      <c r="AI975" s="57"/>
      <c r="AJ975" s="168"/>
      <c r="AK975" s="175">
        <v>2021</v>
      </c>
      <c r="AL975" s="176"/>
      <c r="AM975" s="177"/>
    </row>
    <row r="976" spans="1:39" s="47" customFormat="1">
      <c r="A976" s="72" t="s">
        <v>666</v>
      </c>
      <c r="B976" s="72"/>
      <c r="C976" s="72"/>
      <c r="D976" s="72"/>
      <c r="E976" s="120" t="s">
        <v>1469</v>
      </c>
      <c r="F976" s="120"/>
      <c r="G976" s="169" t="s">
        <v>68</v>
      </c>
      <c r="H976" s="169" t="s">
        <v>30</v>
      </c>
      <c r="I976" s="169" t="s">
        <v>31</v>
      </c>
      <c r="J976" s="161" t="s">
        <v>32</v>
      </c>
      <c r="K976" s="155" t="s">
        <v>70</v>
      </c>
      <c r="L976" s="336">
        <f t="shared" si="209"/>
        <v>10000000</v>
      </c>
      <c r="M976" s="337">
        <f>50000000-40000000</f>
        <v>10000000</v>
      </c>
      <c r="N976" s="338"/>
      <c r="O976" s="339"/>
      <c r="P976" s="339"/>
      <c r="Q976" s="339"/>
      <c r="R976" s="90"/>
      <c r="S976" s="6"/>
      <c r="T976" s="6"/>
      <c r="U976" s="6"/>
      <c r="V976" s="10"/>
      <c r="W976" s="68"/>
      <c r="X976" s="68"/>
      <c r="Y976" s="68"/>
      <c r="Z976" s="68"/>
      <c r="AA976" s="68"/>
      <c r="AB976" s="68"/>
      <c r="AC976" s="68"/>
      <c r="AD976" s="68"/>
      <c r="AE976" s="68"/>
      <c r="AF976" s="68"/>
      <c r="AG976" s="68"/>
      <c r="AH976" s="68"/>
      <c r="AI976" s="57"/>
      <c r="AJ976" s="156">
        <v>100</v>
      </c>
      <c r="AK976" s="156">
        <v>2021</v>
      </c>
      <c r="AL976" s="70"/>
      <c r="AM976" s="159"/>
    </row>
    <row r="977" spans="1:39" s="47" customFormat="1">
      <c r="A977" s="72" t="s">
        <v>666</v>
      </c>
      <c r="B977" s="72"/>
      <c r="C977" s="72"/>
      <c r="D977" s="72"/>
      <c r="E977" s="120" t="s">
        <v>1469</v>
      </c>
      <c r="F977" s="120"/>
      <c r="G977" s="154" t="s">
        <v>68</v>
      </c>
      <c r="H977" s="154" t="s">
        <v>30</v>
      </c>
      <c r="I977" s="154" t="s">
        <v>31</v>
      </c>
      <c r="J977" s="125" t="s">
        <v>32</v>
      </c>
      <c r="K977" s="157" t="s">
        <v>71</v>
      </c>
      <c r="L977" s="336">
        <f t="shared" si="209"/>
        <v>5000000</v>
      </c>
      <c r="M977" s="337">
        <f>30000000-25000000</f>
        <v>5000000</v>
      </c>
      <c r="N977" s="338"/>
      <c r="O977" s="339"/>
      <c r="P977" s="339"/>
      <c r="Q977" s="339"/>
      <c r="R977" s="90"/>
      <c r="S977" s="6"/>
      <c r="T977" s="6"/>
      <c r="U977" s="6"/>
      <c r="V977" s="10"/>
      <c r="W977" s="68"/>
      <c r="X977" s="68"/>
      <c r="Y977" s="68"/>
      <c r="Z977" s="68"/>
      <c r="AA977" s="68"/>
      <c r="AB977" s="68"/>
      <c r="AC977" s="68"/>
      <c r="AD977" s="68"/>
      <c r="AE977" s="68"/>
      <c r="AF977" s="68"/>
      <c r="AG977" s="68"/>
      <c r="AH977" s="68"/>
      <c r="AI977" s="57"/>
      <c r="AJ977" s="156">
        <v>100</v>
      </c>
      <c r="AK977" s="156">
        <v>2021</v>
      </c>
      <c r="AL977" s="70"/>
      <c r="AM977" s="159"/>
    </row>
    <row r="978" spans="1:39" s="47" customFormat="1">
      <c r="A978" s="72" t="s">
        <v>666</v>
      </c>
      <c r="B978" s="72"/>
      <c r="C978" s="72"/>
      <c r="D978" s="72"/>
      <c r="E978" s="120" t="s">
        <v>1469</v>
      </c>
      <c r="F978" s="120"/>
      <c r="G978" s="154" t="s">
        <v>68</v>
      </c>
      <c r="H978" s="154" t="s">
        <v>30</v>
      </c>
      <c r="I978" s="154" t="s">
        <v>31</v>
      </c>
      <c r="J978" s="125" t="s">
        <v>32</v>
      </c>
      <c r="K978" s="157" t="s">
        <v>72</v>
      </c>
      <c r="L978" s="336">
        <f t="shared" si="209"/>
        <v>40000000</v>
      </c>
      <c r="M978" s="337">
        <f>140000000-100000000</f>
        <v>40000000</v>
      </c>
      <c r="N978" s="338"/>
      <c r="O978" s="339"/>
      <c r="P978" s="339"/>
      <c r="Q978" s="339"/>
      <c r="R978" s="90"/>
      <c r="S978" s="6"/>
      <c r="T978" s="6"/>
      <c r="U978" s="6"/>
      <c r="V978" s="10"/>
      <c r="W978" s="68"/>
      <c r="X978" s="68"/>
      <c r="Y978" s="68"/>
      <c r="Z978" s="68"/>
      <c r="AA978" s="68"/>
      <c r="AB978" s="68"/>
      <c r="AC978" s="68"/>
      <c r="AD978" s="68"/>
      <c r="AE978" s="68"/>
      <c r="AF978" s="68"/>
      <c r="AG978" s="68"/>
      <c r="AH978" s="68"/>
      <c r="AI978" s="57"/>
      <c r="AJ978" s="156">
        <v>100</v>
      </c>
      <c r="AK978" s="156">
        <v>2021</v>
      </c>
      <c r="AL978" s="70"/>
      <c r="AM978" s="159"/>
    </row>
    <row r="979" spans="1:39" s="47" customFormat="1" ht="33">
      <c r="A979" s="72" t="s">
        <v>666</v>
      </c>
      <c r="B979" s="72"/>
      <c r="C979" s="72"/>
      <c r="D979" s="72"/>
      <c r="E979" s="120" t="s">
        <v>1469</v>
      </c>
      <c r="F979" s="120"/>
      <c r="G979" s="154" t="s">
        <v>68</v>
      </c>
      <c r="H979" s="154" t="s">
        <v>30</v>
      </c>
      <c r="I979" s="154" t="s">
        <v>31</v>
      </c>
      <c r="J979" s="125" t="s">
        <v>32</v>
      </c>
      <c r="K979" s="157" t="s">
        <v>73</v>
      </c>
      <c r="L979" s="336">
        <f t="shared" si="209"/>
        <v>10000000</v>
      </c>
      <c r="M979" s="337">
        <f>35000000-25000000</f>
        <v>10000000</v>
      </c>
      <c r="N979" s="338"/>
      <c r="O979" s="339"/>
      <c r="P979" s="339"/>
      <c r="Q979" s="339"/>
      <c r="R979" s="90"/>
      <c r="S979" s="6"/>
      <c r="T979" s="6"/>
      <c r="U979" s="6"/>
      <c r="V979" s="10"/>
      <c r="W979" s="68"/>
      <c r="X979" s="68"/>
      <c r="Y979" s="68"/>
      <c r="Z979" s="68"/>
      <c r="AA979" s="68"/>
      <c r="AB979" s="68"/>
      <c r="AC979" s="68"/>
      <c r="AD979" s="68"/>
      <c r="AE979" s="68"/>
      <c r="AF979" s="68"/>
      <c r="AG979" s="68"/>
      <c r="AH979" s="68"/>
      <c r="AI979" s="57"/>
      <c r="AJ979" s="156">
        <v>100</v>
      </c>
      <c r="AK979" s="156">
        <v>2021</v>
      </c>
      <c r="AL979" s="70"/>
      <c r="AM979" s="159"/>
    </row>
    <row r="980" spans="1:39" s="47" customFormat="1">
      <c r="A980" s="72" t="s">
        <v>666</v>
      </c>
      <c r="B980" s="72"/>
      <c r="C980" s="72"/>
      <c r="D980" s="72"/>
      <c r="E980" s="120" t="s">
        <v>1469</v>
      </c>
      <c r="F980" s="120"/>
      <c r="G980" s="154" t="s">
        <v>68</v>
      </c>
      <c r="H980" s="154" t="s">
        <v>30</v>
      </c>
      <c r="I980" s="154" t="s">
        <v>31</v>
      </c>
      <c r="J980" s="125" t="s">
        <v>32</v>
      </c>
      <c r="K980" s="157" t="s">
        <v>74</v>
      </c>
      <c r="L980" s="336">
        <f t="shared" si="209"/>
        <v>3000000</v>
      </c>
      <c r="M980" s="337">
        <v>3000000</v>
      </c>
      <c r="N980" s="338"/>
      <c r="O980" s="339"/>
      <c r="P980" s="339"/>
      <c r="Q980" s="339"/>
      <c r="R980" s="90"/>
      <c r="S980" s="6"/>
      <c r="T980" s="6"/>
      <c r="U980" s="6"/>
      <c r="V980" s="10"/>
      <c r="W980" s="68"/>
      <c r="X980" s="68"/>
      <c r="Y980" s="68"/>
      <c r="Z980" s="68"/>
      <c r="AA980" s="68"/>
      <c r="AB980" s="68"/>
      <c r="AC980" s="68"/>
      <c r="AD980" s="68"/>
      <c r="AE980" s="68"/>
      <c r="AF980" s="68"/>
      <c r="AG980" s="68"/>
      <c r="AH980" s="68"/>
      <c r="AI980" s="57"/>
      <c r="AJ980" s="156">
        <v>100</v>
      </c>
      <c r="AK980" s="156">
        <v>2021</v>
      </c>
      <c r="AL980" s="70"/>
      <c r="AM980" s="159"/>
    </row>
    <row r="981" spans="1:39" s="233" customFormat="1">
      <c r="A981" s="193" t="s">
        <v>887</v>
      </c>
      <c r="B981" s="181" t="s">
        <v>193</v>
      </c>
      <c r="C981" s="181"/>
      <c r="D981" s="181"/>
      <c r="E981" s="182" t="s">
        <v>1225</v>
      </c>
      <c r="F981" s="182"/>
      <c r="G981" s="219" t="s">
        <v>81</v>
      </c>
      <c r="H981" s="219"/>
      <c r="I981" s="219"/>
      <c r="J981" s="184" t="s">
        <v>82</v>
      </c>
      <c r="K981" s="201"/>
      <c r="L981" s="287">
        <f>SUM(L983:L985)</f>
        <v>25520639</v>
      </c>
      <c r="M981" s="288">
        <f>SUM(M983:M985)</f>
        <v>25520639</v>
      </c>
      <c r="N981" s="289">
        <f t="shared" ref="N981:Q981" si="210">SUM(N983:N985)</f>
        <v>0</v>
      </c>
      <c r="O981" s="289">
        <f t="shared" si="210"/>
        <v>0</v>
      </c>
      <c r="P981" s="289">
        <f t="shared" si="210"/>
        <v>0</v>
      </c>
      <c r="Q981" s="289">
        <f t="shared" si="210"/>
        <v>0</v>
      </c>
      <c r="R981" s="187">
        <f t="shared" ref="R981:R982" si="211">L981-M981-N981-O981-P981-Q981</f>
        <v>0</v>
      </c>
      <c r="S981" s="235"/>
      <c r="T981" s="235"/>
      <c r="U981" s="235"/>
      <c r="V981" s="200"/>
      <c r="W981" s="199"/>
      <c r="X981" s="199"/>
      <c r="Y981" s="199"/>
      <c r="Z981" s="199"/>
      <c r="AA981" s="199"/>
      <c r="AB981" s="199"/>
      <c r="AC981" s="199"/>
      <c r="AD981" s="199"/>
      <c r="AE981" s="199"/>
      <c r="AF981" s="199"/>
      <c r="AG981" s="199"/>
      <c r="AH981" s="199"/>
      <c r="AI981" s="231"/>
      <c r="AJ981" s="187">
        <f>SUM(AJ983:AJ985)</f>
        <v>200</v>
      </c>
      <c r="AK981" s="185"/>
      <c r="AL981" s="196"/>
      <c r="AM981" s="197"/>
    </row>
    <row r="982" spans="1:39" s="233" customFormat="1">
      <c r="A982" s="193" t="s">
        <v>887</v>
      </c>
      <c r="B982" s="193"/>
      <c r="C982" s="193"/>
      <c r="D982" s="193"/>
      <c r="E982" s="182" t="s">
        <v>1225</v>
      </c>
      <c r="F982" s="182"/>
      <c r="G982" s="219" t="s">
        <v>83</v>
      </c>
      <c r="H982" s="220"/>
      <c r="I982" s="220"/>
      <c r="J982" s="190" t="s">
        <v>82</v>
      </c>
      <c r="K982" s="201"/>
      <c r="L982" s="331"/>
      <c r="M982" s="332"/>
      <c r="N982" s="333"/>
      <c r="O982" s="340"/>
      <c r="P982" s="340"/>
      <c r="Q982" s="340"/>
      <c r="R982" s="187">
        <f t="shared" si="211"/>
        <v>0</v>
      </c>
      <c r="S982" s="235"/>
      <c r="T982" s="235"/>
      <c r="U982" s="235"/>
      <c r="V982" s="200"/>
      <c r="W982" s="199"/>
      <c r="X982" s="199"/>
      <c r="Y982" s="199"/>
      <c r="Z982" s="199"/>
      <c r="AA982" s="199"/>
      <c r="AB982" s="199"/>
      <c r="AC982" s="199"/>
      <c r="AD982" s="199"/>
      <c r="AE982" s="199"/>
      <c r="AF982" s="199"/>
      <c r="AG982" s="199"/>
      <c r="AH982" s="199"/>
      <c r="AI982" s="231"/>
      <c r="AJ982" s="185"/>
      <c r="AK982" s="185"/>
      <c r="AL982" s="196"/>
      <c r="AM982" s="197"/>
    </row>
    <row r="983" spans="1:39" s="47" customFormat="1">
      <c r="A983" s="72"/>
      <c r="B983" s="72"/>
      <c r="C983" s="72"/>
      <c r="D983" s="72"/>
      <c r="E983" s="120"/>
      <c r="F983" s="120"/>
      <c r="G983" s="154" t="s">
        <v>84</v>
      </c>
      <c r="H983" s="154" t="s">
        <v>30</v>
      </c>
      <c r="I983" s="154" t="s">
        <v>31</v>
      </c>
      <c r="J983" s="125" t="s">
        <v>32</v>
      </c>
      <c r="K983" s="157" t="s">
        <v>189</v>
      </c>
      <c r="L983" s="336">
        <f>SUM(M983:Q983)</f>
        <v>22510639</v>
      </c>
      <c r="M983" s="337">
        <f>8490000+27000000-12979361</f>
        <v>22510639</v>
      </c>
      <c r="N983" s="338"/>
      <c r="O983" s="339"/>
      <c r="P983" s="339"/>
      <c r="Q983" s="339"/>
      <c r="R983" s="90"/>
      <c r="S983" s="6"/>
      <c r="T983" s="6"/>
      <c r="U983" s="6"/>
      <c r="V983" s="10"/>
      <c r="W983" s="68"/>
      <c r="X983" s="68"/>
      <c r="Y983" s="68"/>
      <c r="Z983" s="68"/>
      <c r="AA983" s="68"/>
      <c r="AB983" s="68"/>
      <c r="AC983" s="68"/>
      <c r="AD983" s="68"/>
      <c r="AE983" s="68"/>
      <c r="AF983" s="68"/>
      <c r="AG983" s="68"/>
      <c r="AH983" s="68"/>
      <c r="AI983" s="57"/>
      <c r="AJ983" s="156"/>
      <c r="AK983" s="156"/>
      <c r="AL983" s="158"/>
      <c r="AM983" s="159"/>
    </row>
    <row r="984" spans="1:39" s="47" customFormat="1">
      <c r="A984" s="72" t="s">
        <v>887</v>
      </c>
      <c r="B984" s="72"/>
      <c r="C984" s="72"/>
      <c r="D984" s="72"/>
      <c r="E984" s="120" t="s">
        <v>1469</v>
      </c>
      <c r="F984" s="120"/>
      <c r="G984" s="154" t="s">
        <v>84</v>
      </c>
      <c r="H984" s="154" t="s">
        <v>30</v>
      </c>
      <c r="I984" s="154" t="s">
        <v>31</v>
      </c>
      <c r="J984" s="125" t="s">
        <v>32</v>
      </c>
      <c r="K984" s="157" t="s">
        <v>85</v>
      </c>
      <c r="L984" s="336">
        <f>SUM(M984:Q984)</f>
        <v>10000</v>
      </c>
      <c r="M984" s="337">
        <f>8500000-8490000</f>
        <v>10000</v>
      </c>
      <c r="N984" s="338"/>
      <c r="O984" s="339"/>
      <c r="P984" s="339"/>
      <c r="Q984" s="339"/>
      <c r="R984" s="90"/>
      <c r="S984" s="6"/>
      <c r="T984" s="6"/>
      <c r="U984" s="6"/>
      <c r="V984" s="10"/>
      <c r="W984" s="68"/>
      <c r="X984" s="68"/>
      <c r="Y984" s="68"/>
      <c r="Z984" s="68"/>
      <c r="AA984" s="68"/>
      <c r="AB984" s="68"/>
      <c r="AC984" s="68"/>
      <c r="AD984" s="68"/>
      <c r="AE984" s="68"/>
      <c r="AF984" s="68"/>
      <c r="AG984" s="68"/>
      <c r="AH984" s="68"/>
      <c r="AI984" s="57"/>
      <c r="AJ984" s="156">
        <v>100</v>
      </c>
      <c r="AK984" s="156">
        <v>2021</v>
      </c>
      <c r="AL984" s="158"/>
      <c r="AM984" s="159"/>
    </row>
    <row r="985" spans="1:39" s="47" customFormat="1">
      <c r="A985" s="72" t="s">
        <v>887</v>
      </c>
      <c r="B985" s="72"/>
      <c r="C985" s="72"/>
      <c r="D985" s="72"/>
      <c r="E985" s="120" t="s">
        <v>1469</v>
      </c>
      <c r="F985" s="120"/>
      <c r="G985" s="154" t="s">
        <v>84</v>
      </c>
      <c r="H985" s="154" t="s">
        <v>30</v>
      </c>
      <c r="I985" s="154" t="s">
        <v>31</v>
      </c>
      <c r="J985" s="125" t="s">
        <v>32</v>
      </c>
      <c r="K985" s="157" t="s">
        <v>86</v>
      </c>
      <c r="L985" s="336">
        <f>SUM(M985:Q985)</f>
        <v>3000000</v>
      </c>
      <c r="M985" s="337">
        <f>30000000-27000000</f>
        <v>3000000</v>
      </c>
      <c r="N985" s="338"/>
      <c r="O985" s="339"/>
      <c r="P985" s="339"/>
      <c r="Q985" s="339"/>
      <c r="R985" s="90"/>
      <c r="S985" s="6"/>
      <c r="T985" s="6"/>
      <c r="U985" s="6"/>
      <c r="V985" s="10"/>
      <c r="W985" s="68"/>
      <c r="X985" s="68"/>
      <c r="Y985" s="68"/>
      <c r="Z985" s="68"/>
      <c r="AA985" s="68"/>
      <c r="AB985" s="68"/>
      <c r="AC985" s="68"/>
      <c r="AD985" s="68"/>
      <c r="AE985" s="68"/>
      <c r="AF985" s="68"/>
      <c r="AG985" s="68"/>
      <c r="AH985" s="68"/>
      <c r="AI985" s="57"/>
      <c r="AJ985" s="156">
        <v>100</v>
      </c>
      <c r="AK985" s="156">
        <v>2021</v>
      </c>
      <c r="AL985" s="158"/>
      <c r="AM985" s="159"/>
    </row>
    <row r="986" spans="1:39" s="233" customFormat="1">
      <c r="A986" s="193" t="s">
        <v>892</v>
      </c>
      <c r="B986" s="181" t="s">
        <v>193</v>
      </c>
      <c r="C986" s="181"/>
      <c r="D986" s="181"/>
      <c r="E986" s="182" t="s">
        <v>1225</v>
      </c>
      <c r="F986" s="182"/>
      <c r="G986" s="184">
        <v>2700000</v>
      </c>
      <c r="H986" s="184"/>
      <c r="I986" s="184"/>
      <c r="J986" s="221" t="s">
        <v>116</v>
      </c>
      <c r="K986" s="222"/>
      <c r="L986" s="287">
        <f>SUM(L988:L989)</f>
        <v>56000000</v>
      </c>
      <c r="M986" s="288">
        <f>SUM(M988:M989)</f>
        <v>56000000</v>
      </c>
      <c r="N986" s="289">
        <f t="shared" ref="N986:Q986" si="212">SUM(N988:N989)</f>
        <v>0</v>
      </c>
      <c r="O986" s="289">
        <f t="shared" si="212"/>
        <v>0</v>
      </c>
      <c r="P986" s="289">
        <f t="shared" si="212"/>
        <v>0</v>
      </c>
      <c r="Q986" s="289">
        <f t="shared" si="212"/>
        <v>0</v>
      </c>
      <c r="R986" s="187">
        <f t="shared" ref="R986:R987" si="213">L986-M986-N986-O986-P986-Q986</f>
        <v>0</v>
      </c>
      <c r="S986" s="235"/>
      <c r="T986" s="235"/>
      <c r="U986" s="235"/>
      <c r="V986" s="200"/>
      <c r="W986" s="199"/>
      <c r="X986" s="199"/>
      <c r="Y986" s="199"/>
      <c r="Z986" s="199"/>
      <c r="AA986" s="199"/>
      <c r="AB986" s="199"/>
      <c r="AC986" s="199"/>
      <c r="AD986" s="199"/>
      <c r="AE986" s="199"/>
      <c r="AF986" s="199"/>
      <c r="AG986" s="199"/>
      <c r="AH986" s="199"/>
      <c r="AI986" s="231"/>
      <c r="AJ986" s="187">
        <f>SUM(AJ988:AJ989)</f>
        <v>100</v>
      </c>
      <c r="AK986" s="185"/>
      <c r="AL986" s="196"/>
      <c r="AM986" s="197"/>
    </row>
    <row r="987" spans="1:39" s="233" customFormat="1">
      <c r="A987" s="193" t="s">
        <v>892</v>
      </c>
      <c r="B987" s="224"/>
      <c r="C987" s="224"/>
      <c r="D987" s="224"/>
      <c r="E987" s="225" t="s">
        <v>1225</v>
      </c>
      <c r="F987" s="225"/>
      <c r="G987" s="184">
        <v>2710000</v>
      </c>
      <c r="H987" s="184"/>
      <c r="I987" s="219"/>
      <c r="J987" s="222" t="s">
        <v>116</v>
      </c>
      <c r="K987" s="226"/>
      <c r="L987" s="331"/>
      <c r="M987" s="332"/>
      <c r="N987" s="333"/>
      <c r="O987" s="340"/>
      <c r="P987" s="340"/>
      <c r="Q987" s="340"/>
      <c r="R987" s="187">
        <f t="shared" si="213"/>
        <v>0</v>
      </c>
      <c r="S987" s="235"/>
      <c r="T987" s="235"/>
      <c r="U987" s="235"/>
      <c r="V987" s="200"/>
      <c r="W987" s="199"/>
      <c r="X987" s="199"/>
      <c r="Y987" s="199"/>
      <c r="Z987" s="199"/>
      <c r="AA987" s="199"/>
      <c r="AB987" s="199"/>
      <c r="AC987" s="199"/>
      <c r="AD987" s="199"/>
      <c r="AE987" s="199"/>
      <c r="AF987" s="199"/>
      <c r="AG987" s="199"/>
      <c r="AH987" s="199"/>
      <c r="AI987" s="231"/>
      <c r="AJ987" s="185"/>
      <c r="AK987" s="185"/>
      <c r="AL987" s="197"/>
      <c r="AM987" s="197"/>
    </row>
    <row r="988" spans="1:39" s="47" customFormat="1">
      <c r="A988" s="72"/>
      <c r="B988" s="35"/>
      <c r="C988" s="35"/>
      <c r="D988" s="35"/>
      <c r="E988" s="37"/>
      <c r="F988" s="37"/>
      <c r="G988" s="156">
        <v>2717670</v>
      </c>
      <c r="H988" s="156">
        <v>7670</v>
      </c>
      <c r="I988" s="154" t="s">
        <v>31</v>
      </c>
      <c r="J988" s="125" t="s">
        <v>32</v>
      </c>
      <c r="K988" s="170" t="s">
        <v>189</v>
      </c>
      <c r="L988" s="336">
        <f>SUM(M988:Q988)</f>
        <v>10000000</v>
      </c>
      <c r="M988" s="337">
        <v>10000000</v>
      </c>
      <c r="N988" s="338"/>
      <c r="O988" s="339"/>
      <c r="P988" s="339"/>
      <c r="Q988" s="339"/>
      <c r="R988" s="90"/>
      <c r="S988" s="6"/>
      <c r="T988" s="6"/>
      <c r="U988" s="6"/>
      <c r="V988" s="10"/>
      <c r="W988" s="68"/>
      <c r="X988" s="68"/>
      <c r="Y988" s="68"/>
      <c r="Z988" s="68"/>
      <c r="AA988" s="68"/>
      <c r="AB988" s="68"/>
      <c r="AC988" s="68"/>
      <c r="AD988" s="68"/>
      <c r="AE988" s="68"/>
      <c r="AF988" s="68"/>
      <c r="AG988" s="68"/>
      <c r="AH988" s="68"/>
      <c r="AI988" s="57"/>
      <c r="AJ988" s="156"/>
      <c r="AK988" s="156"/>
      <c r="AL988" s="159"/>
      <c r="AM988" s="159"/>
    </row>
    <row r="989" spans="1:39" s="47" customFormat="1">
      <c r="A989" s="72" t="s">
        <v>892</v>
      </c>
      <c r="B989" s="35"/>
      <c r="C989" s="35"/>
      <c r="D989" s="35"/>
      <c r="E989" s="120" t="s">
        <v>1469</v>
      </c>
      <c r="F989" s="37"/>
      <c r="G989" s="156">
        <v>2717670</v>
      </c>
      <c r="H989" s="156">
        <v>7670</v>
      </c>
      <c r="I989" s="154" t="s">
        <v>31</v>
      </c>
      <c r="J989" s="125" t="s">
        <v>32</v>
      </c>
      <c r="K989" s="170" t="s">
        <v>121</v>
      </c>
      <c r="L989" s="336">
        <f>SUM(M989:Q989)</f>
        <v>46000000</v>
      </c>
      <c r="M989" s="337">
        <f>56000000-10000000</f>
        <v>46000000</v>
      </c>
      <c r="N989" s="338"/>
      <c r="O989" s="339"/>
      <c r="P989" s="339"/>
      <c r="Q989" s="339"/>
      <c r="R989" s="90"/>
      <c r="S989" s="6"/>
      <c r="T989" s="6"/>
      <c r="U989" s="6"/>
      <c r="V989" s="10"/>
      <c r="W989" s="68"/>
      <c r="X989" s="68"/>
      <c r="Y989" s="68"/>
      <c r="Z989" s="68"/>
      <c r="AA989" s="68"/>
      <c r="AB989" s="68"/>
      <c r="AC989" s="68"/>
      <c r="AD989" s="68"/>
      <c r="AE989" s="68"/>
      <c r="AF989" s="68"/>
      <c r="AG989" s="68"/>
      <c r="AH989" s="68"/>
      <c r="AI989" s="57"/>
      <c r="AJ989" s="156">
        <v>100</v>
      </c>
      <c r="AK989" s="156">
        <v>2021</v>
      </c>
      <c r="AL989" s="159"/>
      <c r="AM989" s="159"/>
    </row>
    <row r="990" spans="1:39" s="233" customFormat="1">
      <c r="A990" s="193" t="s">
        <v>907</v>
      </c>
      <c r="B990" s="181" t="s">
        <v>193</v>
      </c>
      <c r="C990" s="181"/>
      <c r="D990" s="181"/>
      <c r="E990" s="182" t="s">
        <v>1225</v>
      </c>
      <c r="F990" s="182"/>
      <c r="G990" s="238"/>
      <c r="H990" s="238"/>
      <c r="I990" s="238"/>
      <c r="J990" s="184" t="s">
        <v>182</v>
      </c>
      <c r="K990" s="237"/>
      <c r="L990" s="287">
        <f t="shared" ref="L990:Q990" si="214">L991+L1003+L1056+L1066+L1069+L1077+L1081+L1084+L1088+L1096+L1102+L1110+L1115+L1119+L1125</f>
        <v>88580190</v>
      </c>
      <c r="M990" s="288">
        <f t="shared" si="214"/>
        <v>0</v>
      </c>
      <c r="N990" s="289">
        <f t="shared" si="214"/>
        <v>88580190</v>
      </c>
      <c r="O990" s="289">
        <f t="shared" si="214"/>
        <v>0</v>
      </c>
      <c r="P990" s="289">
        <f t="shared" si="214"/>
        <v>0</v>
      </c>
      <c r="Q990" s="289">
        <f t="shared" si="214"/>
        <v>0</v>
      </c>
      <c r="R990" s="187">
        <f t="shared" ref="R990:R992" si="215">L990-M990-N990-O990-P990-Q990</f>
        <v>0</v>
      </c>
      <c r="S990" s="187"/>
      <c r="T990" s="187"/>
      <c r="U990" s="187">
        <f>U991+U1003+U1056+U1066+U1069+U1077+U1081+U1084+U1088+U1096+U1102+U1110+U1115+U1119+U1125</f>
        <v>88580190</v>
      </c>
      <c r="V990" s="187">
        <f>V991+V1003+V1056+V1066+V1069+V1077+V1081+V1084+V1088+V1096+V1102+V1110+V1115+V1119+V1125</f>
        <v>59434890</v>
      </c>
      <c r="W990" s="187">
        <f>W991+W1003+W1056+W1066+W1069+W1077+W1081+W1084+W1088+W1096+W1102+W1110+W1115+W1119+W1125</f>
        <v>29145300</v>
      </c>
      <c r="X990" s="187"/>
      <c r="Y990" s="187">
        <f>SUM(Y992:Y1002)</f>
        <v>0</v>
      </c>
      <c r="Z990" s="187"/>
      <c r="AA990" s="187"/>
      <c r="AB990" s="187">
        <v>88580190</v>
      </c>
      <c r="AC990" s="187"/>
      <c r="AD990" s="187">
        <f>AD992</f>
        <v>0</v>
      </c>
      <c r="AE990" s="187">
        <f>AE992</f>
        <v>0</v>
      </c>
      <c r="AF990" s="187">
        <f>AF992</f>
        <v>0</v>
      </c>
      <c r="AG990" s="187">
        <f>AG992</f>
        <v>0</v>
      </c>
      <c r="AH990" s="187">
        <f>AH992</f>
        <v>0</v>
      </c>
      <c r="AI990" s="231"/>
      <c r="AJ990" s="187"/>
      <c r="AK990" s="232"/>
      <c r="AL990" s="232"/>
      <c r="AM990" s="232"/>
    </row>
    <row r="991" spans="1:39" s="233" customFormat="1">
      <c r="A991" s="193" t="s">
        <v>908</v>
      </c>
      <c r="B991" s="234" t="s">
        <v>193</v>
      </c>
      <c r="C991" s="234"/>
      <c r="D991" s="234"/>
      <c r="E991" s="225" t="s">
        <v>1225</v>
      </c>
      <c r="F991" s="225"/>
      <c r="G991" s="203" t="s">
        <v>19</v>
      </c>
      <c r="H991" s="203"/>
      <c r="I991" s="203"/>
      <c r="J991" s="204" t="s">
        <v>41</v>
      </c>
      <c r="K991" s="205"/>
      <c r="L991" s="287">
        <f t="shared" ref="L991" si="216">SUM(L993:L1002)</f>
        <v>3055261</v>
      </c>
      <c r="M991" s="288">
        <f>SUM(M993:M1002)</f>
        <v>-4161019</v>
      </c>
      <c r="N991" s="289">
        <f>SUM(N993:N1002)</f>
        <v>7216280</v>
      </c>
      <c r="O991" s="289">
        <f t="shared" ref="O991:P991" si="217">SUM(O993:O1002)</f>
        <v>0</v>
      </c>
      <c r="P991" s="289">
        <f t="shared" si="217"/>
        <v>0</v>
      </c>
      <c r="Q991" s="289">
        <f t="shared" ref="Q991" si="218">SUM(Q993:Q1002)</f>
        <v>0</v>
      </c>
      <c r="R991" s="187">
        <f t="shared" si="215"/>
        <v>0</v>
      </c>
      <c r="S991" s="187"/>
      <c r="T991" s="187"/>
      <c r="U991" s="187">
        <f>SUM(U993:U1002)</f>
        <v>7216280</v>
      </c>
      <c r="V991" s="187">
        <v>3628401</v>
      </c>
      <c r="W991" s="187">
        <f>590200+2997679</f>
        <v>3587879</v>
      </c>
      <c r="X991" s="239"/>
      <c r="Y991" s="239"/>
      <c r="Z991" s="239"/>
      <c r="AA991" s="239"/>
      <c r="AB991" s="187"/>
      <c r="AC991" s="187"/>
      <c r="AD991" s="187"/>
      <c r="AE991" s="187"/>
      <c r="AF991" s="187"/>
      <c r="AG991" s="187"/>
      <c r="AH991" s="187"/>
      <c r="AI991" s="231"/>
      <c r="AJ991" s="187"/>
      <c r="AK991" s="185"/>
      <c r="AL991" s="196"/>
      <c r="AM991" s="197"/>
    </row>
    <row r="992" spans="1:39" s="233" customFormat="1">
      <c r="A992" s="193" t="s">
        <v>908</v>
      </c>
      <c r="B992" s="234"/>
      <c r="C992" s="234"/>
      <c r="D992" s="234"/>
      <c r="E992" s="225" t="s">
        <v>1225</v>
      </c>
      <c r="F992" s="225"/>
      <c r="G992" s="203" t="s">
        <v>21</v>
      </c>
      <c r="H992" s="203"/>
      <c r="I992" s="203"/>
      <c r="J992" s="206" t="s">
        <v>41</v>
      </c>
      <c r="K992" s="205"/>
      <c r="L992" s="290"/>
      <c r="M992" s="291"/>
      <c r="N992" s="297"/>
      <c r="O992" s="297"/>
      <c r="P992" s="297"/>
      <c r="Q992" s="297"/>
      <c r="R992" s="187">
        <f t="shared" si="215"/>
        <v>0</v>
      </c>
      <c r="S992" s="199"/>
      <c r="T992" s="199"/>
      <c r="U992" s="199"/>
      <c r="V992" s="187"/>
      <c r="W992" s="195"/>
      <c r="X992" s="239"/>
      <c r="Y992" s="239"/>
      <c r="Z992" s="239"/>
      <c r="AA992" s="239"/>
      <c r="AB992" s="191"/>
      <c r="AC992" s="191"/>
      <c r="AD992" s="191"/>
      <c r="AE992" s="191"/>
      <c r="AF992" s="191"/>
      <c r="AG992" s="191"/>
      <c r="AH992" s="191"/>
      <c r="AI992" s="231"/>
      <c r="AJ992" s="199"/>
      <c r="AK992" s="185"/>
      <c r="AL992" s="196"/>
      <c r="AM992" s="197"/>
    </row>
    <row r="993" spans="1:39" ht="33">
      <c r="A993" s="34" t="s">
        <v>908</v>
      </c>
      <c r="E993" s="37" t="s">
        <v>903</v>
      </c>
      <c r="F993" s="37"/>
      <c r="G993" s="80" t="s">
        <v>963</v>
      </c>
      <c r="H993" s="80" t="s">
        <v>415</v>
      </c>
      <c r="I993" s="80" t="s">
        <v>416</v>
      </c>
      <c r="J993" s="81" t="s">
        <v>417</v>
      </c>
      <c r="K993" s="86" t="s">
        <v>247</v>
      </c>
      <c r="L993" s="293">
        <f t="shared" ref="L993:L1002" si="219">SUM(M993:Q993)</f>
        <v>471699</v>
      </c>
      <c r="M993" s="294"/>
      <c r="N993" s="294">
        <v>471699</v>
      </c>
      <c r="O993" s="286"/>
      <c r="P993" s="286"/>
      <c r="Q993" s="286"/>
      <c r="R993" s="78"/>
      <c r="S993" s="70"/>
      <c r="T993" s="70"/>
      <c r="U993" s="70">
        <v>471699</v>
      </c>
      <c r="V993" s="24"/>
      <c r="W993" s="14"/>
      <c r="X993" s="30"/>
      <c r="Y993" s="30"/>
      <c r="Z993" s="30"/>
      <c r="AA993" s="30"/>
      <c r="AB993" s="22"/>
      <c r="AC993" s="22"/>
      <c r="AD993" s="22"/>
      <c r="AE993" s="22"/>
      <c r="AF993" s="22"/>
      <c r="AG993" s="22"/>
      <c r="AH993" s="22"/>
      <c r="AI993" s="12"/>
      <c r="AJ993" s="78">
        <v>100</v>
      </c>
      <c r="AK993" s="78">
        <v>2021</v>
      </c>
      <c r="AL993" s="85">
        <v>471699</v>
      </c>
      <c r="AM993" s="84"/>
    </row>
    <row r="994" spans="1:39" ht="33">
      <c r="A994" s="34" t="s">
        <v>908</v>
      </c>
      <c r="E994" s="37" t="s">
        <v>905</v>
      </c>
      <c r="F994" s="37"/>
      <c r="G994" s="80" t="s">
        <v>962</v>
      </c>
      <c r="H994" s="80" t="s">
        <v>437</v>
      </c>
      <c r="I994" s="80" t="s">
        <v>298</v>
      </c>
      <c r="J994" s="81" t="s">
        <v>438</v>
      </c>
      <c r="K994" s="86" t="s">
        <v>248</v>
      </c>
      <c r="L994" s="293">
        <f t="shared" si="219"/>
        <v>69262</v>
      </c>
      <c r="M994" s="294"/>
      <c r="N994" s="294">
        <v>69262</v>
      </c>
      <c r="O994" s="286"/>
      <c r="P994" s="286"/>
      <c r="Q994" s="286"/>
      <c r="R994" s="78"/>
      <c r="S994" s="70"/>
      <c r="T994" s="70"/>
      <c r="U994" s="70">
        <v>69262</v>
      </c>
      <c r="V994" s="24"/>
      <c r="W994" s="14"/>
      <c r="X994" s="30"/>
      <c r="Y994" s="30"/>
      <c r="Z994" s="30"/>
      <c r="AA994" s="30"/>
      <c r="AB994" s="22"/>
      <c r="AC994" s="22"/>
      <c r="AD994" s="22"/>
      <c r="AE994" s="22"/>
      <c r="AF994" s="22"/>
      <c r="AG994" s="22"/>
      <c r="AH994" s="22"/>
      <c r="AI994" s="12"/>
      <c r="AJ994" s="78">
        <v>100</v>
      </c>
      <c r="AK994" s="78">
        <v>2021</v>
      </c>
      <c r="AL994" s="85">
        <v>69262</v>
      </c>
      <c r="AM994" s="84"/>
    </row>
    <row r="995" spans="1:39" ht="33">
      <c r="A995" s="34" t="s">
        <v>908</v>
      </c>
      <c r="E995" s="37" t="s">
        <v>905</v>
      </c>
      <c r="F995" s="37"/>
      <c r="G995" s="80" t="s">
        <v>246</v>
      </c>
      <c r="H995" s="80" t="s">
        <v>224</v>
      </c>
      <c r="I995" s="80" t="s">
        <v>225</v>
      </c>
      <c r="J995" s="81" t="s">
        <v>226</v>
      </c>
      <c r="K995" s="86" t="s">
        <v>249</v>
      </c>
      <c r="L995" s="293">
        <f t="shared" si="219"/>
        <v>599900</v>
      </c>
      <c r="M995" s="294"/>
      <c r="N995" s="294">
        <v>599900</v>
      </c>
      <c r="O995" s="286"/>
      <c r="P995" s="286"/>
      <c r="Q995" s="286"/>
      <c r="R995" s="78"/>
      <c r="S995" s="70"/>
      <c r="T995" s="70"/>
      <c r="U995" s="70">
        <v>599900</v>
      </c>
      <c r="V995" s="24"/>
      <c r="W995" s="14"/>
      <c r="X995" s="30"/>
      <c r="Y995" s="30"/>
      <c r="Z995" s="30"/>
      <c r="AA995" s="30"/>
      <c r="AB995" s="22"/>
      <c r="AC995" s="22"/>
      <c r="AD995" s="22"/>
      <c r="AE995" s="22"/>
      <c r="AF995" s="22"/>
      <c r="AG995" s="22"/>
      <c r="AH995" s="22"/>
      <c r="AI995" s="12"/>
      <c r="AJ995" s="78">
        <v>100</v>
      </c>
      <c r="AK995" s="78">
        <v>2021</v>
      </c>
      <c r="AL995" s="85">
        <v>599900</v>
      </c>
      <c r="AM995" s="84"/>
    </row>
    <row r="996" spans="1:39" ht="33">
      <c r="A996" s="34" t="s">
        <v>908</v>
      </c>
      <c r="E996" s="37" t="s">
        <v>905</v>
      </c>
      <c r="F996" s="37"/>
      <c r="G996" s="80" t="s">
        <v>964</v>
      </c>
      <c r="H996" s="80" t="s">
        <v>212</v>
      </c>
      <c r="I996" s="80" t="s">
        <v>213</v>
      </c>
      <c r="J996" s="81" t="s">
        <v>965</v>
      </c>
      <c r="K996" s="86" t="s">
        <v>250</v>
      </c>
      <c r="L996" s="293">
        <f t="shared" si="219"/>
        <v>249200</v>
      </c>
      <c r="M996" s="294"/>
      <c r="N996" s="294">
        <v>249200</v>
      </c>
      <c r="O996" s="286"/>
      <c r="P996" s="286"/>
      <c r="Q996" s="286"/>
      <c r="R996" s="78"/>
      <c r="S996" s="70"/>
      <c r="T996" s="70"/>
      <c r="U996" s="70">
        <v>249200</v>
      </c>
      <c r="V996" s="24"/>
      <c r="W996" s="14"/>
      <c r="X996" s="30"/>
      <c r="Y996" s="30"/>
      <c r="Z996" s="30"/>
      <c r="AA996" s="30"/>
      <c r="AB996" s="22"/>
      <c r="AC996" s="22"/>
      <c r="AD996" s="22"/>
      <c r="AE996" s="22"/>
      <c r="AF996" s="22"/>
      <c r="AG996" s="22"/>
      <c r="AH996" s="22"/>
      <c r="AI996" s="12"/>
      <c r="AJ996" s="78">
        <v>100</v>
      </c>
      <c r="AK996" s="78">
        <v>2021</v>
      </c>
      <c r="AL996" s="85">
        <v>249200</v>
      </c>
      <c r="AM996" s="84"/>
    </row>
    <row r="997" spans="1:39">
      <c r="A997" s="34" t="s">
        <v>908</v>
      </c>
      <c r="E997" s="37" t="s">
        <v>903</v>
      </c>
      <c r="F997" s="37"/>
      <c r="G997" s="80" t="s">
        <v>246</v>
      </c>
      <c r="H997" s="80" t="s">
        <v>224</v>
      </c>
      <c r="I997" s="80" t="s">
        <v>225</v>
      </c>
      <c r="J997" s="81" t="s">
        <v>226</v>
      </c>
      <c r="K997" s="86" t="s">
        <v>251</v>
      </c>
      <c r="L997" s="293">
        <f t="shared" si="219"/>
        <v>595000</v>
      </c>
      <c r="M997" s="294"/>
      <c r="N997" s="294">
        <v>595000</v>
      </c>
      <c r="O997" s="286"/>
      <c r="P997" s="286"/>
      <c r="Q997" s="286"/>
      <c r="R997" s="78"/>
      <c r="S997" s="70"/>
      <c r="T997" s="70"/>
      <c r="U997" s="70">
        <v>595000</v>
      </c>
      <c r="V997" s="24"/>
      <c r="W997" s="14"/>
      <c r="X997" s="30"/>
      <c r="Y997" s="30"/>
      <c r="Z997" s="30"/>
      <c r="AA997" s="30"/>
      <c r="AB997" s="22"/>
      <c r="AC997" s="22"/>
      <c r="AD997" s="22"/>
      <c r="AE997" s="22"/>
      <c r="AF997" s="22"/>
      <c r="AG997" s="22"/>
      <c r="AH997" s="22"/>
      <c r="AI997" s="12"/>
      <c r="AJ997" s="78">
        <v>100</v>
      </c>
      <c r="AK997" s="78">
        <v>2021</v>
      </c>
      <c r="AL997" s="85">
        <v>595000</v>
      </c>
      <c r="AM997" s="84"/>
    </row>
    <row r="998" spans="1:39" ht="49.5">
      <c r="A998" s="34" t="s">
        <v>908</v>
      </c>
      <c r="E998" s="37" t="s">
        <v>903</v>
      </c>
      <c r="F998" s="37"/>
      <c r="G998" s="80" t="s">
        <v>246</v>
      </c>
      <c r="H998" s="80" t="s">
        <v>224</v>
      </c>
      <c r="I998" s="80" t="s">
        <v>225</v>
      </c>
      <c r="J998" s="81" t="s">
        <v>226</v>
      </c>
      <c r="K998" s="86" t="s">
        <v>677</v>
      </c>
      <c r="L998" s="293">
        <f t="shared" si="219"/>
        <v>480000</v>
      </c>
      <c r="M998" s="294"/>
      <c r="N998" s="294">
        <v>480000</v>
      </c>
      <c r="O998" s="286"/>
      <c r="P998" s="286"/>
      <c r="Q998" s="286"/>
      <c r="R998" s="78"/>
      <c r="S998" s="70"/>
      <c r="T998" s="70"/>
      <c r="U998" s="70">
        <v>480000</v>
      </c>
      <c r="V998" s="24"/>
      <c r="W998" s="14"/>
      <c r="X998" s="30"/>
      <c r="Y998" s="30"/>
      <c r="Z998" s="30"/>
      <c r="AA998" s="30"/>
      <c r="AB998" s="22"/>
      <c r="AC998" s="22"/>
      <c r="AD998" s="22"/>
      <c r="AE998" s="22"/>
      <c r="AF998" s="22"/>
      <c r="AG998" s="22"/>
      <c r="AH998" s="22"/>
      <c r="AI998" s="12"/>
      <c r="AJ998" s="78">
        <v>100</v>
      </c>
      <c r="AK998" s="78">
        <v>2021</v>
      </c>
      <c r="AL998" s="85">
        <v>480000</v>
      </c>
      <c r="AM998" s="84"/>
    </row>
    <row r="999" spans="1:39" ht="33">
      <c r="A999" s="34" t="s">
        <v>908</v>
      </c>
      <c r="E999" s="37" t="s">
        <v>905</v>
      </c>
      <c r="F999" s="37"/>
      <c r="G999" s="80" t="s">
        <v>966</v>
      </c>
      <c r="H999" s="93">
        <v>7321</v>
      </c>
      <c r="I999" s="93" t="s">
        <v>108</v>
      </c>
      <c r="J999" s="81" t="s">
        <v>419</v>
      </c>
      <c r="K999" s="86" t="s">
        <v>951</v>
      </c>
      <c r="L999" s="293">
        <f t="shared" si="219"/>
        <v>0</v>
      </c>
      <c r="M999" s="294">
        <v>-599350</v>
      </c>
      <c r="N999" s="294">
        <v>599350</v>
      </c>
      <c r="O999" s="286"/>
      <c r="P999" s="286"/>
      <c r="Q999" s="286"/>
      <c r="R999" s="78"/>
      <c r="S999" s="70"/>
      <c r="T999" s="70"/>
      <c r="U999" s="70">
        <v>599350</v>
      </c>
      <c r="V999" s="24"/>
      <c r="W999" s="14"/>
      <c r="X999" s="30"/>
      <c r="Y999" s="30"/>
      <c r="Z999" s="30"/>
      <c r="AA999" s="30"/>
      <c r="AB999" s="22"/>
      <c r="AC999" s="22"/>
      <c r="AD999" s="22"/>
      <c r="AE999" s="22"/>
      <c r="AF999" s="22"/>
      <c r="AG999" s="22"/>
      <c r="AH999" s="22"/>
      <c r="AI999" s="12"/>
      <c r="AJ999" s="78">
        <v>100</v>
      </c>
      <c r="AK999" s="78">
        <v>2021</v>
      </c>
      <c r="AL999" s="85">
        <v>599350</v>
      </c>
      <c r="AM999" s="84"/>
    </row>
    <row r="1000" spans="1:39" ht="33">
      <c r="A1000" s="34" t="s">
        <v>908</v>
      </c>
      <c r="E1000" s="37" t="s">
        <v>903</v>
      </c>
      <c r="F1000" s="37"/>
      <c r="G1000" s="80" t="s">
        <v>1020</v>
      </c>
      <c r="H1000" s="93" t="s">
        <v>221</v>
      </c>
      <c r="I1000" s="93" t="s">
        <v>108</v>
      </c>
      <c r="J1000" s="81" t="s">
        <v>222</v>
      </c>
      <c r="K1000" s="86" t="s">
        <v>245</v>
      </c>
      <c r="L1000" s="293">
        <f t="shared" si="219"/>
        <v>0</v>
      </c>
      <c r="M1000" s="294">
        <v>-563990</v>
      </c>
      <c r="N1000" s="294">
        <v>563990</v>
      </c>
      <c r="O1000" s="286"/>
      <c r="P1000" s="286"/>
      <c r="Q1000" s="286"/>
      <c r="R1000" s="78"/>
      <c r="S1000" s="70"/>
      <c r="T1000" s="70"/>
      <c r="U1000" s="70">
        <v>563990</v>
      </c>
      <c r="V1000" s="24"/>
      <c r="W1000" s="14"/>
      <c r="X1000" s="30"/>
      <c r="Y1000" s="30"/>
      <c r="Z1000" s="30"/>
      <c r="AA1000" s="30"/>
      <c r="AB1000" s="22"/>
      <c r="AC1000" s="22"/>
      <c r="AD1000" s="22"/>
      <c r="AE1000" s="22"/>
      <c r="AF1000" s="22"/>
      <c r="AG1000" s="22"/>
      <c r="AH1000" s="22"/>
      <c r="AI1000" s="12"/>
      <c r="AJ1000" s="78">
        <v>100</v>
      </c>
      <c r="AK1000" s="78">
        <v>2021</v>
      </c>
      <c r="AL1000" s="85">
        <v>563990</v>
      </c>
      <c r="AM1000" s="84"/>
    </row>
    <row r="1001" spans="1:39" ht="33">
      <c r="A1001" s="34" t="s">
        <v>908</v>
      </c>
      <c r="E1001" s="37" t="s">
        <v>903</v>
      </c>
      <c r="F1001" s="37"/>
      <c r="G1001" s="80" t="s">
        <v>244</v>
      </c>
      <c r="H1001" s="93" t="s">
        <v>188</v>
      </c>
      <c r="I1001" s="93" t="s">
        <v>108</v>
      </c>
      <c r="J1001" s="81" t="s">
        <v>186</v>
      </c>
      <c r="K1001" s="86" t="s">
        <v>1023</v>
      </c>
      <c r="L1001" s="293">
        <f t="shared" si="219"/>
        <v>590200</v>
      </c>
      <c r="M1001" s="294"/>
      <c r="N1001" s="294">
        <v>590200</v>
      </c>
      <c r="O1001" s="286"/>
      <c r="P1001" s="286"/>
      <c r="Q1001" s="286"/>
      <c r="R1001" s="78"/>
      <c r="S1001" s="70"/>
      <c r="T1001" s="70"/>
      <c r="U1001" s="70">
        <v>590200</v>
      </c>
      <c r="V1001" s="24"/>
      <c r="W1001" s="14"/>
      <c r="X1001" s="30"/>
      <c r="Y1001" s="30"/>
      <c r="Z1001" s="30"/>
      <c r="AA1001" s="30"/>
      <c r="AB1001" s="22"/>
      <c r="AC1001" s="22"/>
      <c r="AD1001" s="22"/>
      <c r="AE1001" s="22"/>
      <c r="AF1001" s="22"/>
      <c r="AG1001" s="22"/>
      <c r="AH1001" s="22"/>
      <c r="AI1001" s="12"/>
      <c r="AJ1001" s="78">
        <v>100</v>
      </c>
      <c r="AK1001" s="78">
        <v>2021</v>
      </c>
      <c r="AL1001" s="85">
        <v>590200</v>
      </c>
      <c r="AM1001" s="84"/>
    </row>
    <row r="1002" spans="1:39" ht="33">
      <c r="A1002" s="34" t="s">
        <v>908</v>
      </c>
      <c r="E1002" s="37" t="s">
        <v>905</v>
      </c>
      <c r="F1002" s="37"/>
      <c r="G1002" s="80" t="s">
        <v>1021</v>
      </c>
      <c r="H1002" s="93" t="s">
        <v>1008</v>
      </c>
      <c r="I1002" s="93" t="s">
        <v>1009</v>
      </c>
      <c r="J1002" s="81" t="s">
        <v>1007</v>
      </c>
      <c r="K1002" s="86" t="s">
        <v>252</v>
      </c>
      <c r="L1002" s="293">
        <f t="shared" si="219"/>
        <v>0</v>
      </c>
      <c r="M1002" s="294">
        <v>-2997679</v>
      </c>
      <c r="N1002" s="294">
        <v>2997679</v>
      </c>
      <c r="O1002" s="286"/>
      <c r="P1002" s="286"/>
      <c r="Q1002" s="286"/>
      <c r="R1002" s="78"/>
      <c r="S1002" s="70"/>
      <c r="T1002" s="70"/>
      <c r="U1002" s="70">
        <v>2997679</v>
      </c>
      <c r="V1002" s="24"/>
      <c r="W1002" s="14"/>
      <c r="X1002" s="30"/>
      <c r="Y1002" s="30"/>
      <c r="Z1002" s="30"/>
      <c r="AA1002" s="30"/>
      <c r="AB1002" s="22"/>
      <c r="AC1002" s="22"/>
      <c r="AD1002" s="22"/>
      <c r="AE1002" s="22"/>
      <c r="AF1002" s="22"/>
      <c r="AG1002" s="22"/>
      <c r="AH1002" s="22"/>
      <c r="AI1002" s="12"/>
      <c r="AJ1002" s="78">
        <v>100</v>
      </c>
      <c r="AK1002" s="78">
        <v>2021</v>
      </c>
      <c r="AL1002" s="85">
        <v>2997679</v>
      </c>
      <c r="AM1002" s="84"/>
    </row>
    <row r="1003" spans="1:39" s="233" customFormat="1">
      <c r="A1003" s="193" t="s">
        <v>909</v>
      </c>
      <c r="B1003" s="234" t="s">
        <v>193</v>
      </c>
      <c r="C1003" s="234"/>
      <c r="D1003" s="234"/>
      <c r="E1003" s="225" t="s">
        <v>1225</v>
      </c>
      <c r="F1003" s="225"/>
      <c r="G1003" s="183" t="s">
        <v>44</v>
      </c>
      <c r="H1003" s="183"/>
      <c r="I1003" s="183"/>
      <c r="J1003" s="184" t="s">
        <v>45</v>
      </c>
      <c r="K1003" s="201"/>
      <c r="L1003" s="287">
        <f t="shared" ref="L1003:Q1003" si="220">SUM(L1005:L1055)</f>
        <v>34659738</v>
      </c>
      <c r="M1003" s="288">
        <f t="shared" si="220"/>
        <v>1163340</v>
      </c>
      <c r="N1003" s="289">
        <f t="shared" si="220"/>
        <v>33496398</v>
      </c>
      <c r="O1003" s="289">
        <f t="shared" si="220"/>
        <v>0</v>
      </c>
      <c r="P1003" s="289">
        <f t="shared" si="220"/>
        <v>0</v>
      </c>
      <c r="Q1003" s="289">
        <f t="shared" si="220"/>
        <v>0</v>
      </c>
      <c r="R1003" s="187">
        <f t="shared" ref="R1003:R1004" si="221">L1003-M1003-N1003-O1003-P1003-Q1003</f>
        <v>0</v>
      </c>
      <c r="S1003" s="187"/>
      <c r="T1003" s="187"/>
      <c r="U1003" s="187">
        <f>SUM(U1005:U1055)</f>
        <v>33496398</v>
      </c>
      <c r="V1003" s="187">
        <f>23452330-599764</f>
        <v>22852566</v>
      </c>
      <c r="W1003" s="187">
        <f>599836+594000+599998+2999998+2850000+3000000</f>
        <v>10643832</v>
      </c>
      <c r="X1003" s="239"/>
      <c r="Y1003" s="239"/>
      <c r="Z1003" s="239"/>
      <c r="AA1003" s="239"/>
      <c r="AB1003" s="191"/>
      <c r="AC1003" s="191"/>
      <c r="AD1003" s="191"/>
      <c r="AE1003" s="191"/>
      <c r="AF1003" s="191"/>
      <c r="AG1003" s="191"/>
      <c r="AH1003" s="191"/>
      <c r="AI1003" s="231"/>
      <c r="AJ1003" s="187"/>
      <c r="AK1003" s="185"/>
      <c r="AL1003" s="186"/>
      <c r="AM1003" s="186"/>
    </row>
    <row r="1004" spans="1:39" s="233" customFormat="1">
      <c r="A1004" s="193" t="s">
        <v>909</v>
      </c>
      <c r="B1004" s="234"/>
      <c r="C1004" s="234"/>
      <c r="D1004" s="234"/>
      <c r="E1004" s="225" t="s">
        <v>1225</v>
      </c>
      <c r="F1004" s="225"/>
      <c r="G1004" s="183" t="s">
        <v>46</v>
      </c>
      <c r="H1004" s="183"/>
      <c r="I1004" s="183"/>
      <c r="J1004" s="190" t="s">
        <v>45</v>
      </c>
      <c r="K1004" s="201"/>
      <c r="L1004" s="290"/>
      <c r="M1004" s="291"/>
      <c r="N1004" s="297"/>
      <c r="O1004" s="297"/>
      <c r="P1004" s="297"/>
      <c r="Q1004" s="297"/>
      <c r="R1004" s="187">
        <f t="shared" si="221"/>
        <v>0</v>
      </c>
      <c r="S1004" s="199"/>
      <c r="T1004" s="199"/>
      <c r="U1004" s="199"/>
      <c r="V1004" s="187"/>
      <c r="W1004" s="187"/>
      <c r="X1004" s="239"/>
      <c r="Y1004" s="239"/>
      <c r="Z1004" s="239"/>
      <c r="AA1004" s="239"/>
      <c r="AB1004" s="191"/>
      <c r="AC1004" s="191"/>
      <c r="AD1004" s="191"/>
      <c r="AE1004" s="191"/>
      <c r="AF1004" s="191"/>
      <c r="AG1004" s="191"/>
      <c r="AH1004" s="191"/>
      <c r="AI1004" s="231"/>
      <c r="AJ1004" s="199"/>
      <c r="AK1004" s="185"/>
      <c r="AL1004" s="196"/>
      <c r="AM1004" s="197"/>
    </row>
    <row r="1005" spans="1:39" ht="49.5">
      <c r="A1005" s="34" t="s">
        <v>909</v>
      </c>
      <c r="E1005" s="37" t="s">
        <v>904</v>
      </c>
      <c r="F1005" s="37"/>
      <c r="G1005" s="80" t="s">
        <v>436</v>
      </c>
      <c r="H1005" s="93" t="s">
        <v>437</v>
      </c>
      <c r="I1005" s="93" t="s">
        <v>298</v>
      </c>
      <c r="J1005" s="81" t="s">
        <v>438</v>
      </c>
      <c r="K1005" s="100" t="s">
        <v>671</v>
      </c>
      <c r="L1005" s="293">
        <f t="shared" ref="L1005:L1019" si="222">SUM(M1005:Q1005)</f>
        <v>599999</v>
      </c>
      <c r="M1005" s="294"/>
      <c r="N1005" s="294">
        <v>599999</v>
      </c>
      <c r="O1005" s="286"/>
      <c r="P1005" s="286"/>
      <c r="Q1005" s="286"/>
      <c r="R1005" s="78"/>
      <c r="S1005" s="70"/>
      <c r="T1005" s="70"/>
      <c r="U1005" s="70">
        <v>599999</v>
      </c>
      <c r="V1005" s="24"/>
      <c r="W1005" s="14"/>
      <c r="X1005" s="30"/>
      <c r="Y1005" s="30"/>
      <c r="Z1005" s="30"/>
      <c r="AA1005" s="30"/>
      <c r="AB1005" s="22"/>
      <c r="AC1005" s="22"/>
      <c r="AD1005" s="22"/>
      <c r="AE1005" s="22"/>
      <c r="AF1005" s="22"/>
      <c r="AG1005" s="22"/>
      <c r="AH1005" s="22"/>
      <c r="AI1005" s="12"/>
      <c r="AJ1005" s="78">
        <v>100</v>
      </c>
      <c r="AK1005" s="78">
        <v>2021</v>
      </c>
      <c r="AL1005" s="85">
        <v>599999</v>
      </c>
      <c r="AM1005" s="84"/>
    </row>
    <row r="1006" spans="1:39" ht="49.5">
      <c r="A1006" s="34" t="s">
        <v>909</v>
      </c>
      <c r="E1006" s="37" t="s">
        <v>904</v>
      </c>
      <c r="F1006" s="37"/>
      <c r="G1006" s="80" t="s">
        <v>414</v>
      </c>
      <c r="H1006" s="93" t="s">
        <v>415</v>
      </c>
      <c r="I1006" s="93" t="s">
        <v>416</v>
      </c>
      <c r="J1006" s="81" t="s">
        <v>417</v>
      </c>
      <c r="K1006" s="101" t="s">
        <v>1163</v>
      </c>
      <c r="L1006" s="293">
        <f t="shared" si="222"/>
        <v>2999980</v>
      </c>
      <c r="M1006" s="294"/>
      <c r="N1006" s="294">
        <v>2999980</v>
      </c>
      <c r="O1006" s="286"/>
      <c r="P1006" s="286"/>
      <c r="Q1006" s="286"/>
      <c r="R1006" s="78"/>
      <c r="S1006" s="70"/>
      <c r="T1006" s="70"/>
      <c r="U1006" s="70">
        <v>2999980</v>
      </c>
      <c r="V1006" s="24"/>
      <c r="W1006" s="14"/>
      <c r="X1006" s="30"/>
      <c r="Y1006" s="30"/>
      <c r="Z1006" s="30"/>
      <c r="AA1006" s="30"/>
      <c r="AB1006" s="22"/>
      <c r="AC1006" s="22"/>
      <c r="AD1006" s="22"/>
      <c r="AE1006" s="22"/>
      <c r="AF1006" s="22"/>
      <c r="AG1006" s="22"/>
      <c r="AH1006" s="22"/>
      <c r="AI1006" s="12"/>
      <c r="AJ1006" s="78">
        <v>100</v>
      </c>
      <c r="AK1006" s="78">
        <v>2021</v>
      </c>
      <c r="AL1006" s="85">
        <v>2999980</v>
      </c>
      <c r="AM1006" s="84"/>
    </row>
    <row r="1007" spans="1:39" ht="49.5">
      <c r="A1007" s="34" t="s">
        <v>909</v>
      </c>
      <c r="E1007" s="37" t="s">
        <v>902</v>
      </c>
      <c r="F1007" s="37"/>
      <c r="G1007" s="80" t="s">
        <v>414</v>
      </c>
      <c r="H1007" s="93" t="s">
        <v>415</v>
      </c>
      <c r="I1007" s="93" t="s">
        <v>416</v>
      </c>
      <c r="J1007" s="81" t="s">
        <v>417</v>
      </c>
      <c r="K1007" s="86" t="s">
        <v>424</v>
      </c>
      <c r="L1007" s="293">
        <f t="shared" si="222"/>
        <v>300000</v>
      </c>
      <c r="M1007" s="294"/>
      <c r="N1007" s="294">
        <v>300000</v>
      </c>
      <c r="O1007" s="286"/>
      <c r="P1007" s="286"/>
      <c r="Q1007" s="286"/>
      <c r="R1007" s="78"/>
      <c r="S1007" s="70"/>
      <c r="T1007" s="70"/>
      <c r="U1007" s="70">
        <v>300000</v>
      </c>
      <c r="V1007" s="24"/>
      <c r="W1007" s="14"/>
      <c r="X1007" s="30"/>
      <c r="Y1007" s="30"/>
      <c r="Z1007" s="30"/>
      <c r="AA1007" s="30"/>
      <c r="AB1007" s="22"/>
      <c r="AC1007" s="22"/>
      <c r="AD1007" s="22"/>
      <c r="AE1007" s="22"/>
      <c r="AF1007" s="22"/>
      <c r="AG1007" s="22"/>
      <c r="AH1007" s="22"/>
      <c r="AI1007" s="12"/>
      <c r="AJ1007" s="78">
        <v>100</v>
      </c>
      <c r="AK1007" s="78">
        <v>2021</v>
      </c>
      <c r="AL1007" s="85">
        <v>300000</v>
      </c>
      <c r="AM1007" s="84"/>
    </row>
    <row r="1008" spans="1:39" ht="49.5">
      <c r="A1008" s="34" t="s">
        <v>909</v>
      </c>
      <c r="E1008" s="37" t="s">
        <v>902</v>
      </c>
      <c r="F1008" s="37"/>
      <c r="G1008" s="80" t="s">
        <v>414</v>
      </c>
      <c r="H1008" s="93" t="s">
        <v>415</v>
      </c>
      <c r="I1008" s="93" t="s">
        <v>416</v>
      </c>
      <c r="J1008" s="81" t="s">
        <v>417</v>
      </c>
      <c r="K1008" s="86" t="s">
        <v>425</v>
      </c>
      <c r="L1008" s="293">
        <f t="shared" si="222"/>
        <v>300000</v>
      </c>
      <c r="M1008" s="294"/>
      <c r="N1008" s="294">
        <v>300000</v>
      </c>
      <c r="O1008" s="286"/>
      <c r="P1008" s="286"/>
      <c r="Q1008" s="286"/>
      <c r="R1008" s="78"/>
      <c r="S1008" s="70"/>
      <c r="T1008" s="70"/>
      <c r="U1008" s="70">
        <v>300000</v>
      </c>
      <c r="W1008" s="14"/>
      <c r="X1008" s="30"/>
      <c r="Y1008" s="30"/>
      <c r="Z1008" s="30"/>
      <c r="AA1008" s="30"/>
      <c r="AB1008" s="22"/>
      <c r="AC1008" s="22"/>
      <c r="AD1008" s="22"/>
      <c r="AE1008" s="22"/>
      <c r="AF1008" s="22"/>
      <c r="AG1008" s="22"/>
      <c r="AH1008" s="22"/>
      <c r="AI1008" s="12"/>
      <c r="AJ1008" s="78">
        <v>100</v>
      </c>
      <c r="AK1008" s="78">
        <v>2021</v>
      </c>
      <c r="AL1008" s="85">
        <v>300000</v>
      </c>
      <c r="AM1008" s="84"/>
    </row>
    <row r="1009" spans="1:39" ht="33">
      <c r="A1009" s="34" t="s">
        <v>909</v>
      </c>
      <c r="E1009" s="37" t="s">
        <v>902</v>
      </c>
      <c r="F1009" s="37"/>
      <c r="G1009" s="80" t="s">
        <v>414</v>
      </c>
      <c r="H1009" s="93" t="s">
        <v>415</v>
      </c>
      <c r="I1009" s="93" t="s">
        <v>416</v>
      </c>
      <c r="J1009" s="81" t="s">
        <v>417</v>
      </c>
      <c r="K1009" s="86" t="s">
        <v>422</v>
      </c>
      <c r="L1009" s="293">
        <f t="shared" si="222"/>
        <v>200000</v>
      </c>
      <c r="M1009" s="294"/>
      <c r="N1009" s="294">
        <v>200000</v>
      </c>
      <c r="O1009" s="286"/>
      <c r="P1009" s="286"/>
      <c r="Q1009" s="286"/>
      <c r="R1009" s="78"/>
      <c r="S1009" s="70"/>
      <c r="T1009" s="70"/>
      <c r="U1009" s="70">
        <v>200000</v>
      </c>
      <c r="V1009" s="24"/>
      <c r="W1009" s="14"/>
      <c r="X1009" s="30"/>
      <c r="Y1009" s="30"/>
      <c r="Z1009" s="30"/>
      <c r="AA1009" s="30"/>
      <c r="AB1009" s="22"/>
      <c r="AC1009" s="22"/>
      <c r="AD1009" s="22"/>
      <c r="AE1009" s="22"/>
      <c r="AF1009" s="22"/>
      <c r="AG1009" s="22"/>
      <c r="AH1009" s="22"/>
      <c r="AI1009" s="12"/>
      <c r="AJ1009" s="78">
        <v>100</v>
      </c>
      <c r="AK1009" s="78">
        <v>2021</v>
      </c>
      <c r="AL1009" s="85">
        <v>200000</v>
      </c>
      <c r="AM1009" s="84"/>
    </row>
    <row r="1010" spans="1:39" ht="33">
      <c r="A1010" s="34" t="s">
        <v>909</v>
      </c>
      <c r="E1010" s="37" t="s">
        <v>902</v>
      </c>
      <c r="F1010" s="37"/>
      <c r="G1010" s="80" t="s">
        <v>414</v>
      </c>
      <c r="H1010" s="93" t="s">
        <v>415</v>
      </c>
      <c r="I1010" s="93" t="s">
        <v>416</v>
      </c>
      <c r="J1010" s="81" t="s">
        <v>417</v>
      </c>
      <c r="K1010" s="86" t="s">
        <v>426</v>
      </c>
      <c r="L1010" s="293">
        <f t="shared" si="222"/>
        <v>100000</v>
      </c>
      <c r="M1010" s="294"/>
      <c r="N1010" s="294">
        <v>100000</v>
      </c>
      <c r="O1010" s="286"/>
      <c r="P1010" s="286"/>
      <c r="Q1010" s="286"/>
      <c r="R1010" s="78"/>
      <c r="S1010" s="70"/>
      <c r="T1010" s="70"/>
      <c r="U1010" s="70">
        <v>100000</v>
      </c>
      <c r="V1010" s="24"/>
      <c r="W1010" s="14"/>
      <c r="X1010" s="30"/>
      <c r="Y1010" s="30"/>
      <c r="Z1010" s="30"/>
      <c r="AA1010" s="30"/>
      <c r="AB1010" s="22"/>
      <c r="AC1010" s="22"/>
      <c r="AD1010" s="22"/>
      <c r="AE1010" s="22"/>
      <c r="AF1010" s="22"/>
      <c r="AG1010" s="22"/>
      <c r="AH1010" s="22"/>
      <c r="AI1010" s="12"/>
      <c r="AJ1010" s="78">
        <v>100</v>
      </c>
      <c r="AK1010" s="78">
        <v>2021</v>
      </c>
      <c r="AL1010" s="85">
        <v>100000</v>
      </c>
      <c r="AM1010" s="84"/>
    </row>
    <row r="1011" spans="1:39" ht="82.5">
      <c r="A1011" s="34" t="s">
        <v>909</v>
      </c>
      <c r="E1011" s="37" t="s">
        <v>904</v>
      </c>
      <c r="F1011" s="37"/>
      <c r="G1011" s="80" t="s">
        <v>414</v>
      </c>
      <c r="H1011" s="93" t="s">
        <v>415</v>
      </c>
      <c r="I1011" s="93" t="s">
        <v>416</v>
      </c>
      <c r="J1011" s="81" t="s">
        <v>417</v>
      </c>
      <c r="K1011" s="86" t="s">
        <v>434</v>
      </c>
      <c r="L1011" s="293">
        <f t="shared" si="222"/>
        <v>599500</v>
      </c>
      <c r="M1011" s="294"/>
      <c r="N1011" s="294">
        <v>599500</v>
      </c>
      <c r="O1011" s="286"/>
      <c r="P1011" s="286"/>
      <c r="Q1011" s="286"/>
      <c r="R1011" s="78"/>
      <c r="S1011" s="70"/>
      <c r="T1011" s="70"/>
      <c r="U1011" s="70">
        <v>599500</v>
      </c>
      <c r="V1011" s="24"/>
      <c r="W1011" s="14"/>
      <c r="X1011" s="30"/>
      <c r="Y1011" s="30"/>
      <c r="Z1011" s="30"/>
      <c r="AA1011" s="30"/>
      <c r="AB1011" s="22"/>
      <c r="AC1011" s="22"/>
      <c r="AD1011" s="22"/>
      <c r="AE1011" s="22"/>
      <c r="AF1011" s="22"/>
      <c r="AG1011" s="22"/>
      <c r="AH1011" s="22"/>
      <c r="AI1011" s="12"/>
      <c r="AJ1011" s="78">
        <v>100</v>
      </c>
      <c r="AK1011" s="78">
        <v>2021</v>
      </c>
      <c r="AL1011" s="85">
        <v>599500</v>
      </c>
      <c r="AM1011" s="84"/>
    </row>
    <row r="1012" spans="1:39" ht="66">
      <c r="A1012" s="34" t="s">
        <v>909</v>
      </c>
      <c r="E1012" s="37" t="s">
        <v>905</v>
      </c>
      <c r="F1012" s="37"/>
      <c r="G1012" s="80" t="s">
        <v>414</v>
      </c>
      <c r="H1012" s="93" t="s">
        <v>415</v>
      </c>
      <c r="I1012" s="93" t="s">
        <v>416</v>
      </c>
      <c r="J1012" s="81" t="s">
        <v>417</v>
      </c>
      <c r="K1012" s="86" t="s">
        <v>440</v>
      </c>
      <c r="L1012" s="293">
        <f t="shared" si="222"/>
        <v>594462</v>
      </c>
      <c r="M1012" s="294"/>
      <c r="N1012" s="294">
        <v>594462</v>
      </c>
      <c r="O1012" s="286"/>
      <c r="P1012" s="286"/>
      <c r="Q1012" s="286"/>
      <c r="R1012" s="78"/>
      <c r="S1012" s="70"/>
      <c r="T1012" s="70"/>
      <c r="U1012" s="70">
        <v>594462</v>
      </c>
      <c r="V1012" s="24"/>
      <c r="W1012" s="14"/>
      <c r="X1012" s="30"/>
      <c r="Y1012" s="30"/>
      <c r="Z1012" s="30"/>
      <c r="AA1012" s="30"/>
      <c r="AB1012" s="22"/>
      <c r="AC1012" s="22"/>
      <c r="AD1012" s="22"/>
      <c r="AE1012" s="22"/>
      <c r="AF1012" s="22"/>
      <c r="AG1012" s="22"/>
      <c r="AH1012" s="22"/>
      <c r="AI1012" s="12"/>
      <c r="AJ1012" s="78">
        <v>100</v>
      </c>
      <c r="AK1012" s="78">
        <v>2021</v>
      </c>
      <c r="AL1012" s="85">
        <v>594462</v>
      </c>
      <c r="AM1012" s="84"/>
    </row>
    <row r="1013" spans="1:39" ht="33">
      <c r="A1013" s="34" t="s">
        <v>909</v>
      </c>
      <c r="E1013" s="37" t="s">
        <v>905</v>
      </c>
      <c r="F1013" s="37"/>
      <c r="G1013" s="80" t="s">
        <v>414</v>
      </c>
      <c r="H1013" s="93" t="s">
        <v>415</v>
      </c>
      <c r="I1013" s="93" t="s">
        <v>416</v>
      </c>
      <c r="J1013" s="81" t="s">
        <v>417</v>
      </c>
      <c r="K1013" s="86" t="s">
        <v>442</v>
      </c>
      <c r="L1013" s="293">
        <f t="shared" si="222"/>
        <v>300000</v>
      </c>
      <c r="M1013" s="294"/>
      <c r="N1013" s="294">
        <v>300000</v>
      </c>
      <c r="O1013" s="286"/>
      <c r="P1013" s="286"/>
      <c r="Q1013" s="286"/>
      <c r="R1013" s="78"/>
      <c r="S1013" s="70"/>
      <c r="T1013" s="70"/>
      <c r="U1013" s="70">
        <v>300000</v>
      </c>
      <c r="V1013" s="24"/>
      <c r="W1013" s="14"/>
      <c r="X1013" s="30"/>
      <c r="Y1013" s="30"/>
      <c r="Z1013" s="30"/>
      <c r="AA1013" s="30"/>
      <c r="AB1013" s="22"/>
      <c r="AC1013" s="22"/>
      <c r="AD1013" s="22"/>
      <c r="AE1013" s="22"/>
      <c r="AF1013" s="22"/>
      <c r="AG1013" s="22"/>
      <c r="AH1013" s="22"/>
      <c r="AI1013" s="12"/>
      <c r="AJ1013" s="78">
        <v>100</v>
      </c>
      <c r="AK1013" s="78">
        <v>2021</v>
      </c>
      <c r="AL1013" s="85">
        <v>300000</v>
      </c>
      <c r="AM1013" s="84"/>
    </row>
    <row r="1014" spans="1:39" ht="66">
      <c r="A1014" s="34" t="s">
        <v>909</v>
      </c>
      <c r="E1014" s="37" t="s">
        <v>905</v>
      </c>
      <c r="F1014" s="37"/>
      <c r="G1014" s="80" t="s">
        <v>414</v>
      </c>
      <c r="H1014" s="93" t="s">
        <v>415</v>
      </c>
      <c r="I1014" s="93" t="s">
        <v>416</v>
      </c>
      <c r="J1014" s="81" t="s">
        <v>417</v>
      </c>
      <c r="K1014" s="86" t="s">
        <v>1259</v>
      </c>
      <c r="L1014" s="293">
        <f t="shared" si="222"/>
        <v>300000</v>
      </c>
      <c r="M1014" s="294"/>
      <c r="N1014" s="294">
        <v>300000</v>
      </c>
      <c r="O1014" s="286"/>
      <c r="P1014" s="286"/>
      <c r="Q1014" s="286"/>
      <c r="R1014" s="78"/>
      <c r="S1014" s="70"/>
      <c r="T1014" s="70"/>
      <c r="U1014" s="70">
        <v>300000</v>
      </c>
      <c r="V1014" s="24"/>
      <c r="W1014" s="14"/>
      <c r="X1014" s="30"/>
      <c r="Y1014" s="30"/>
      <c r="Z1014" s="30"/>
      <c r="AA1014" s="30"/>
      <c r="AB1014" s="22"/>
      <c r="AC1014" s="22"/>
      <c r="AD1014" s="22"/>
      <c r="AE1014" s="22"/>
      <c r="AF1014" s="22"/>
      <c r="AG1014" s="22"/>
      <c r="AH1014" s="22"/>
      <c r="AI1014" s="12"/>
      <c r="AJ1014" s="78">
        <v>100</v>
      </c>
      <c r="AK1014" s="78">
        <v>2021</v>
      </c>
      <c r="AL1014" s="85">
        <v>300000</v>
      </c>
      <c r="AM1014" s="84"/>
    </row>
    <row r="1015" spans="1:39" ht="52.5" customHeight="1">
      <c r="A1015" s="34" t="s">
        <v>909</v>
      </c>
      <c r="E1015" s="37" t="s">
        <v>905</v>
      </c>
      <c r="F1015" s="37"/>
      <c r="G1015" s="80" t="s">
        <v>414</v>
      </c>
      <c r="H1015" s="93" t="s">
        <v>415</v>
      </c>
      <c r="I1015" s="93" t="s">
        <v>416</v>
      </c>
      <c r="J1015" s="81" t="s">
        <v>417</v>
      </c>
      <c r="K1015" s="86" t="s">
        <v>444</v>
      </c>
      <c r="L1015" s="293">
        <f t="shared" si="222"/>
        <v>300000</v>
      </c>
      <c r="M1015" s="294"/>
      <c r="N1015" s="294">
        <v>300000</v>
      </c>
      <c r="O1015" s="286"/>
      <c r="P1015" s="286"/>
      <c r="Q1015" s="286"/>
      <c r="R1015" s="78"/>
      <c r="S1015" s="70"/>
      <c r="T1015" s="70"/>
      <c r="U1015" s="70">
        <v>300000</v>
      </c>
      <c r="V1015" s="24"/>
      <c r="W1015" s="14"/>
      <c r="X1015" s="30"/>
      <c r="Y1015" s="30"/>
      <c r="Z1015" s="30"/>
      <c r="AA1015" s="30"/>
      <c r="AB1015" s="22"/>
      <c r="AC1015" s="22"/>
      <c r="AD1015" s="22"/>
      <c r="AE1015" s="22"/>
      <c r="AF1015" s="22"/>
      <c r="AG1015" s="22"/>
      <c r="AH1015" s="22"/>
      <c r="AI1015" s="12"/>
      <c r="AJ1015" s="78">
        <v>100</v>
      </c>
      <c r="AK1015" s="78">
        <v>2021</v>
      </c>
      <c r="AL1015" s="85">
        <v>300000</v>
      </c>
      <c r="AM1015" s="84"/>
    </row>
    <row r="1016" spans="1:39" ht="49.5">
      <c r="A1016" s="34" t="s">
        <v>909</v>
      </c>
      <c r="E1016" s="37" t="s">
        <v>905</v>
      </c>
      <c r="F1016" s="37"/>
      <c r="G1016" s="80" t="s">
        <v>414</v>
      </c>
      <c r="H1016" s="93" t="s">
        <v>415</v>
      </c>
      <c r="I1016" s="93" t="s">
        <v>416</v>
      </c>
      <c r="J1016" s="81" t="s">
        <v>417</v>
      </c>
      <c r="K1016" s="86" t="s">
        <v>445</v>
      </c>
      <c r="L1016" s="293">
        <f t="shared" si="222"/>
        <v>594776</v>
      </c>
      <c r="M1016" s="294"/>
      <c r="N1016" s="294">
        <v>594776</v>
      </c>
      <c r="O1016" s="286"/>
      <c r="P1016" s="286"/>
      <c r="Q1016" s="286"/>
      <c r="R1016" s="78"/>
      <c r="S1016" s="70"/>
      <c r="T1016" s="70"/>
      <c r="U1016" s="70">
        <v>594776</v>
      </c>
      <c r="V1016" s="24"/>
      <c r="W1016" s="14"/>
      <c r="X1016" s="30"/>
      <c r="Y1016" s="30"/>
      <c r="Z1016" s="30"/>
      <c r="AA1016" s="30"/>
      <c r="AB1016" s="22"/>
      <c r="AC1016" s="22"/>
      <c r="AD1016" s="22"/>
      <c r="AE1016" s="22"/>
      <c r="AF1016" s="22"/>
      <c r="AG1016" s="22"/>
      <c r="AH1016" s="22"/>
      <c r="AI1016" s="12"/>
      <c r="AJ1016" s="78">
        <v>100</v>
      </c>
      <c r="AK1016" s="78">
        <v>2021</v>
      </c>
      <c r="AL1016" s="85">
        <v>594776</v>
      </c>
      <c r="AM1016" s="84"/>
    </row>
    <row r="1017" spans="1:39" ht="49.5">
      <c r="A1017" s="72" t="s">
        <v>909</v>
      </c>
      <c r="E1017" s="37" t="s">
        <v>901</v>
      </c>
      <c r="F1017" s="37"/>
      <c r="G1017" s="154" t="s">
        <v>414</v>
      </c>
      <c r="H1017" s="169" t="s">
        <v>415</v>
      </c>
      <c r="I1017" s="169" t="s">
        <v>416</v>
      </c>
      <c r="J1017" s="125" t="s">
        <v>417</v>
      </c>
      <c r="K1017" s="157" t="s">
        <v>1115</v>
      </c>
      <c r="L1017" s="293">
        <f t="shared" si="222"/>
        <v>574800</v>
      </c>
      <c r="M1017" s="294"/>
      <c r="N1017" s="294">
        <v>574800</v>
      </c>
      <c r="O1017" s="304"/>
      <c r="P1017" s="304"/>
      <c r="Q1017" s="304"/>
      <c r="R1017" s="156"/>
      <c r="S1017" s="70"/>
      <c r="T1017" s="70"/>
      <c r="U1017" s="70">
        <v>574800</v>
      </c>
      <c r="V1017" s="24"/>
      <c r="W1017" s="14"/>
      <c r="X1017" s="30"/>
      <c r="Y1017" s="30"/>
      <c r="Z1017" s="30"/>
      <c r="AA1017" s="30"/>
      <c r="AB1017" s="22"/>
      <c r="AC1017" s="22"/>
      <c r="AD1017" s="22"/>
      <c r="AE1017" s="22"/>
      <c r="AF1017" s="22"/>
      <c r="AG1017" s="22"/>
      <c r="AH1017" s="22"/>
      <c r="AI1017" s="12"/>
      <c r="AJ1017" s="156">
        <v>100</v>
      </c>
      <c r="AK1017" s="156">
        <v>2021</v>
      </c>
      <c r="AL1017" s="70">
        <v>574800</v>
      </c>
      <c r="AM1017" s="159"/>
    </row>
    <row r="1018" spans="1:39" s="47" customFormat="1" ht="49.5">
      <c r="A1018" s="72" t="s">
        <v>909</v>
      </c>
      <c r="B1018" s="32"/>
      <c r="C1018" s="32"/>
      <c r="D1018" s="32"/>
      <c r="E1018" s="37" t="s">
        <v>901</v>
      </c>
      <c r="F1018" s="37"/>
      <c r="G1018" s="154" t="s">
        <v>414</v>
      </c>
      <c r="H1018" s="169" t="s">
        <v>415</v>
      </c>
      <c r="I1018" s="169" t="s">
        <v>416</v>
      </c>
      <c r="J1018" s="125" t="s">
        <v>417</v>
      </c>
      <c r="K1018" s="157" t="s">
        <v>1260</v>
      </c>
      <c r="L1018" s="293">
        <f t="shared" si="222"/>
        <v>399999</v>
      </c>
      <c r="M1018" s="294"/>
      <c r="N1018" s="294">
        <v>399999</v>
      </c>
      <c r="O1018" s="304"/>
      <c r="P1018" s="304"/>
      <c r="Q1018" s="304"/>
      <c r="R1018" s="156"/>
      <c r="S1018" s="118"/>
      <c r="T1018" s="118"/>
      <c r="U1018" s="118">
        <v>399999</v>
      </c>
      <c r="V1018" s="65"/>
      <c r="W1018" s="71"/>
      <c r="X1018" s="30"/>
      <c r="Y1018" s="30"/>
      <c r="Z1018" s="30"/>
      <c r="AA1018" s="30"/>
      <c r="AB1018" s="22"/>
      <c r="AC1018" s="22"/>
      <c r="AD1018" s="22"/>
      <c r="AE1018" s="22"/>
      <c r="AF1018" s="22"/>
      <c r="AG1018" s="22"/>
      <c r="AH1018" s="22"/>
      <c r="AI1018" s="57"/>
      <c r="AJ1018" s="156">
        <v>100</v>
      </c>
      <c r="AK1018" s="156">
        <v>2021</v>
      </c>
      <c r="AL1018" s="70">
        <v>399999</v>
      </c>
      <c r="AM1018" s="159"/>
    </row>
    <row r="1019" spans="1:39" ht="49.5">
      <c r="A1019" s="72" t="s">
        <v>909</v>
      </c>
      <c r="E1019" s="37" t="s">
        <v>901</v>
      </c>
      <c r="F1019" s="37"/>
      <c r="G1019" s="154" t="s">
        <v>418</v>
      </c>
      <c r="H1019" s="169">
        <v>7321</v>
      </c>
      <c r="I1019" s="169" t="s">
        <v>108</v>
      </c>
      <c r="J1019" s="125" t="s">
        <v>419</v>
      </c>
      <c r="K1019" s="157" t="s">
        <v>1261</v>
      </c>
      <c r="L1019" s="293">
        <f t="shared" si="222"/>
        <v>200000</v>
      </c>
      <c r="M1019" s="294"/>
      <c r="N1019" s="294">
        <v>200000</v>
      </c>
      <c r="O1019" s="304"/>
      <c r="P1019" s="304"/>
      <c r="Q1019" s="304"/>
      <c r="R1019" s="156"/>
      <c r="S1019" s="118"/>
      <c r="T1019" s="118"/>
      <c r="U1019" s="118">
        <v>200000</v>
      </c>
      <c r="V1019" s="24"/>
      <c r="W1019" s="14"/>
      <c r="X1019" s="30"/>
      <c r="Y1019" s="30"/>
      <c r="Z1019" s="30"/>
      <c r="AA1019" s="30"/>
      <c r="AB1019" s="22"/>
      <c r="AC1019" s="22"/>
      <c r="AD1019" s="22"/>
      <c r="AE1019" s="22"/>
      <c r="AF1019" s="22"/>
      <c r="AG1019" s="22"/>
      <c r="AH1019" s="22"/>
      <c r="AI1019" s="12"/>
      <c r="AJ1019" s="156">
        <v>100</v>
      </c>
      <c r="AK1019" s="156">
        <v>2021</v>
      </c>
      <c r="AL1019" s="70">
        <v>200000</v>
      </c>
      <c r="AM1019" s="159"/>
    </row>
    <row r="1020" spans="1:39" s="47" customFormat="1" ht="33">
      <c r="A1020" s="72" t="s">
        <v>909</v>
      </c>
      <c r="B1020" s="32"/>
      <c r="C1020" s="32"/>
      <c r="D1020" s="32"/>
      <c r="E1020" s="37"/>
      <c r="F1020" s="37"/>
      <c r="G1020" s="154" t="s">
        <v>418</v>
      </c>
      <c r="H1020" s="169">
        <v>7321</v>
      </c>
      <c r="I1020" s="169" t="s">
        <v>108</v>
      </c>
      <c r="J1020" s="125" t="s">
        <v>419</v>
      </c>
      <c r="K1020" s="157" t="s">
        <v>1447</v>
      </c>
      <c r="L1020" s="293">
        <f t="shared" ref="L1020:L1021" si="223">SUM(M1020:Q1020)</f>
        <v>599350</v>
      </c>
      <c r="M1020" s="294">
        <v>599350</v>
      </c>
      <c r="N1020" s="294"/>
      <c r="O1020" s="304"/>
      <c r="P1020" s="304"/>
      <c r="Q1020" s="304"/>
      <c r="R1020" s="156"/>
      <c r="S1020" s="118"/>
      <c r="T1020" s="118"/>
      <c r="U1020" s="118"/>
      <c r="V1020" s="65"/>
      <c r="W1020" s="71"/>
      <c r="X1020" s="30"/>
      <c r="Y1020" s="30"/>
      <c r="Z1020" s="30"/>
      <c r="AA1020" s="30"/>
      <c r="AB1020" s="22"/>
      <c r="AC1020" s="22"/>
      <c r="AD1020" s="22"/>
      <c r="AE1020" s="22"/>
      <c r="AF1020" s="22"/>
      <c r="AG1020" s="22"/>
      <c r="AH1020" s="22"/>
      <c r="AI1020" s="57"/>
      <c r="AJ1020" s="156"/>
      <c r="AK1020" s="156">
        <v>2021</v>
      </c>
      <c r="AL1020" s="70">
        <v>599350</v>
      </c>
      <c r="AM1020" s="159"/>
    </row>
    <row r="1021" spans="1:39" s="47" customFormat="1" ht="33">
      <c r="A1021" s="72" t="s">
        <v>909</v>
      </c>
      <c r="B1021" s="32"/>
      <c r="C1021" s="32"/>
      <c r="D1021" s="32"/>
      <c r="E1021" s="37"/>
      <c r="F1021" s="37"/>
      <c r="G1021" s="154" t="s">
        <v>1448</v>
      </c>
      <c r="H1021" s="169" t="s">
        <v>221</v>
      </c>
      <c r="I1021" s="169" t="s">
        <v>108</v>
      </c>
      <c r="J1021" s="125" t="s">
        <v>222</v>
      </c>
      <c r="K1021" s="157" t="s">
        <v>245</v>
      </c>
      <c r="L1021" s="293">
        <f t="shared" si="223"/>
        <v>563990</v>
      </c>
      <c r="M1021" s="294">
        <v>563990</v>
      </c>
      <c r="N1021" s="294"/>
      <c r="O1021" s="304"/>
      <c r="P1021" s="304"/>
      <c r="Q1021" s="304"/>
      <c r="R1021" s="156"/>
      <c r="S1021" s="118"/>
      <c r="T1021" s="118"/>
      <c r="U1021" s="118"/>
      <c r="V1021" s="65"/>
      <c r="W1021" s="71"/>
      <c r="X1021" s="30"/>
      <c r="Y1021" s="30"/>
      <c r="Z1021" s="30"/>
      <c r="AA1021" s="30"/>
      <c r="AB1021" s="22"/>
      <c r="AC1021" s="22"/>
      <c r="AD1021" s="22"/>
      <c r="AE1021" s="22"/>
      <c r="AF1021" s="22"/>
      <c r="AG1021" s="22"/>
      <c r="AH1021" s="22"/>
      <c r="AI1021" s="57"/>
      <c r="AJ1021" s="156"/>
      <c r="AK1021" s="156">
        <v>2021</v>
      </c>
      <c r="AL1021" s="70">
        <v>563990</v>
      </c>
      <c r="AM1021" s="159"/>
    </row>
    <row r="1022" spans="1:39" ht="33">
      <c r="A1022" s="34" t="s">
        <v>909</v>
      </c>
      <c r="E1022" s="37" t="s">
        <v>901</v>
      </c>
      <c r="F1022" s="37"/>
      <c r="G1022" s="80" t="s">
        <v>418</v>
      </c>
      <c r="H1022" s="93">
        <v>7321</v>
      </c>
      <c r="I1022" s="93" t="s">
        <v>108</v>
      </c>
      <c r="J1022" s="81" t="s">
        <v>419</v>
      </c>
      <c r="K1022" s="86" t="s">
        <v>1262</v>
      </c>
      <c r="L1022" s="293">
        <f t="shared" ref="L1022:L1055" si="224">SUM(M1022:Q1022)</f>
        <v>599999</v>
      </c>
      <c r="M1022" s="294"/>
      <c r="N1022" s="294">
        <v>599999</v>
      </c>
      <c r="O1022" s="286"/>
      <c r="P1022" s="286"/>
      <c r="Q1022" s="286"/>
      <c r="R1022" s="78"/>
      <c r="S1022" s="70"/>
      <c r="T1022" s="70"/>
      <c r="U1022" s="70">
        <v>599999</v>
      </c>
      <c r="V1022" s="24"/>
      <c r="W1022" s="14"/>
      <c r="X1022" s="30"/>
      <c r="Y1022" s="30"/>
      <c r="Z1022" s="30"/>
      <c r="AA1022" s="30"/>
      <c r="AB1022" s="22"/>
      <c r="AC1022" s="22"/>
      <c r="AD1022" s="22"/>
      <c r="AE1022" s="22"/>
      <c r="AF1022" s="22"/>
      <c r="AG1022" s="22"/>
      <c r="AH1022" s="22"/>
      <c r="AI1022" s="12"/>
      <c r="AJ1022" s="78">
        <v>100</v>
      </c>
      <c r="AK1022" s="78">
        <v>2021</v>
      </c>
      <c r="AL1022" s="85">
        <v>599999</v>
      </c>
      <c r="AM1022" s="84"/>
    </row>
    <row r="1023" spans="1:39" ht="33">
      <c r="A1023" s="34" t="s">
        <v>909</v>
      </c>
      <c r="E1023" s="37" t="s">
        <v>901</v>
      </c>
      <c r="F1023" s="37"/>
      <c r="G1023" s="80" t="s">
        <v>418</v>
      </c>
      <c r="H1023" s="93">
        <v>7321</v>
      </c>
      <c r="I1023" s="93" t="s">
        <v>108</v>
      </c>
      <c r="J1023" s="81" t="s">
        <v>419</v>
      </c>
      <c r="K1023" s="86" t="s">
        <v>420</v>
      </c>
      <c r="L1023" s="293">
        <f t="shared" si="224"/>
        <v>599600</v>
      </c>
      <c r="M1023" s="294"/>
      <c r="N1023" s="294">
        <v>599600</v>
      </c>
      <c r="O1023" s="286"/>
      <c r="P1023" s="286"/>
      <c r="Q1023" s="286"/>
      <c r="R1023" s="78"/>
      <c r="S1023" s="70"/>
      <c r="T1023" s="70"/>
      <c r="U1023" s="70">
        <v>599600</v>
      </c>
      <c r="V1023" s="24"/>
      <c r="W1023" s="14"/>
      <c r="X1023" s="30"/>
      <c r="Y1023" s="30"/>
      <c r="Z1023" s="30"/>
      <c r="AA1023" s="30"/>
      <c r="AB1023" s="22"/>
      <c r="AC1023" s="22"/>
      <c r="AD1023" s="22"/>
      <c r="AE1023" s="22"/>
      <c r="AF1023" s="22"/>
      <c r="AG1023" s="22"/>
      <c r="AH1023" s="22"/>
      <c r="AI1023" s="12"/>
      <c r="AJ1023" s="78">
        <v>100</v>
      </c>
      <c r="AK1023" s="78">
        <v>2021</v>
      </c>
      <c r="AL1023" s="85">
        <v>599600</v>
      </c>
      <c r="AM1023" s="84"/>
    </row>
    <row r="1024" spans="1:39" ht="33">
      <c r="A1024" s="34" t="s">
        <v>909</v>
      </c>
      <c r="E1024" s="37" t="s">
        <v>902</v>
      </c>
      <c r="F1024" s="37"/>
      <c r="G1024" s="80" t="s">
        <v>418</v>
      </c>
      <c r="H1024" s="93">
        <v>7321</v>
      </c>
      <c r="I1024" s="93" t="s">
        <v>108</v>
      </c>
      <c r="J1024" s="81" t="s">
        <v>419</v>
      </c>
      <c r="K1024" s="86" t="s">
        <v>421</v>
      </c>
      <c r="L1024" s="293">
        <f t="shared" si="224"/>
        <v>384450</v>
      </c>
      <c r="M1024" s="294"/>
      <c r="N1024" s="294">
        <v>384450</v>
      </c>
      <c r="O1024" s="286"/>
      <c r="P1024" s="286"/>
      <c r="Q1024" s="286"/>
      <c r="R1024" s="78"/>
      <c r="S1024" s="70"/>
      <c r="T1024" s="70"/>
      <c r="U1024" s="70">
        <v>384450</v>
      </c>
      <c r="V1024" s="24"/>
      <c r="W1024" s="14"/>
      <c r="X1024" s="30"/>
      <c r="Y1024" s="30"/>
      <c r="Z1024" s="30"/>
      <c r="AA1024" s="30"/>
      <c r="AB1024" s="22"/>
      <c r="AC1024" s="22"/>
      <c r="AD1024" s="22"/>
      <c r="AE1024" s="22"/>
      <c r="AF1024" s="22"/>
      <c r="AG1024" s="22"/>
      <c r="AH1024" s="22"/>
      <c r="AI1024" s="12"/>
      <c r="AJ1024" s="78">
        <v>100</v>
      </c>
      <c r="AK1024" s="78">
        <v>2021</v>
      </c>
      <c r="AL1024" s="85">
        <v>384450</v>
      </c>
      <c r="AM1024" s="84"/>
    </row>
    <row r="1025" spans="1:39" ht="33">
      <c r="A1025" s="34" t="s">
        <v>909</v>
      </c>
      <c r="E1025" s="37" t="s">
        <v>902</v>
      </c>
      <c r="F1025" s="37"/>
      <c r="G1025" s="80" t="s">
        <v>418</v>
      </c>
      <c r="H1025" s="93">
        <v>7321</v>
      </c>
      <c r="I1025" s="93" t="s">
        <v>108</v>
      </c>
      <c r="J1025" s="81" t="s">
        <v>419</v>
      </c>
      <c r="K1025" s="86" t="s">
        <v>423</v>
      </c>
      <c r="L1025" s="293">
        <f t="shared" si="224"/>
        <v>599999</v>
      </c>
      <c r="M1025" s="294"/>
      <c r="N1025" s="294">
        <v>599999</v>
      </c>
      <c r="O1025" s="286"/>
      <c r="P1025" s="286"/>
      <c r="Q1025" s="286"/>
      <c r="R1025" s="78"/>
      <c r="S1025" s="70"/>
      <c r="T1025" s="70"/>
      <c r="U1025" s="70">
        <v>599999</v>
      </c>
      <c r="V1025" s="24"/>
      <c r="W1025" s="14"/>
      <c r="X1025" s="30"/>
      <c r="Y1025" s="30"/>
      <c r="Z1025" s="30"/>
      <c r="AA1025" s="30"/>
      <c r="AB1025" s="22"/>
      <c r="AC1025" s="22"/>
      <c r="AD1025" s="22"/>
      <c r="AE1025" s="22"/>
      <c r="AF1025" s="22"/>
      <c r="AG1025" s="22"/>
      <c r="AH1025" s="22"/>
      <c r="AI1025" s="12"/>
      <c r="AJ1025" s="78">
        <v>100</v>
      </c>
      <c r="AK1025" s="78">
        <v>2021</v>
      </c>
      <c r="AL1025" s="85">
        <v>599999</v>
      </c>
      <c r="AM1025" s="84"/>
    </row>
    <row r="1026" spans="1:39" ht="33">
      <c r="A1026" s="34" t="s">
        <v>909</v>
      </c>
      <c r="E1026" s="37" t="s">
        <v>902</v>
      </c>
      <c r="F1026" s="37"/>
      <c r="G1026" s="80" t="s">
        <v>418</v>
      </c>
      <c r="H1026" s="93">
        <v>7321</v>
      </c>
      <c r="I1026" s="93" t="s">
        <v>108</v>
      </c>
      <c r="J1026" s="81" t="s">
        <v>419</v>
      </c>
      <c r="K1026" s="86" t="s">
        <v>667</v>
      </c>
      <c r="L1026" s="293">
        <f t="shared" si="224"/>
        <v>299999</v>
      </c>
      <c r="M1026" s="294"/>
      <c r="N1026" s="294">
        <v>299999</v>
      </c>
      <c r="O1026" s="286"/>
      <c r="P1026" s="286"/>
      <c r="Q1026" s="286"/>
      <c r="R1026" s="78"/>
      <c r="S1026" s="70"/>
      <c r="T1026" s="70"/>
      <c r="U1026" s="70">
        <v>299999</v>
      </c>
      <c r="V1026" s="24"/>
      <c r="W1026" s="14"/>
      <c r="X1026" s="30"/>
      <c r="Y1026" s="30"/>
      <c r="Z1026" s="30"/>
      <c r="AA1026" s="30"/>
      <c r="AB1026" s="22"/>
      <c r="AC1026" s="22"/>
      <c r="AD1026" s="22"/>
      <c r="AE1026" s="22"/>
      <c r="AF1026" s="22"/>
      <c r="AG1026" s="22"/>
      <c r="AH1026" s="22"/>
      <c r="AI1026" s="12"/>
      <c r="AJ1026" s="78">
        <v>100</v>
      </c>
      <c r="AK1026" s="78">
        <v>2021</v>
      </c>
      <c r="AL1026" s="85">
        <v>299999</v>
      </c>
      <c r="AM1026" s="84"/>
    </row>
    <row r="1027" spans="1:39" ht="49.5">
      <c r="A1027" s="34" t="s">
        <v>909</v>
      </c>
      <c r="E1027" s="37" t="s">
        <v>902</v>
      </c>
      <c r="F1027" s="37"/>
      <c r="G1027" s="80" t="s">
        <v>418</v>
      </c>
      <c r="H1027" s="93">
        <v>7321</v>
      </c>
      <c r="I1027" s="93" t="s">
        <v>108</v>
      </c>
      <c r="J1027" s="81" t="s">
        <v>419</v>
      </c>
      <c r="K1027" s="86" t="s">
        <v>668</v>
      </c>
      <c r="L1027" s="293">
        <f t="shared" si="224"/>
        <v>299999</v>
      </c>
      <c r="M1027" s="294"/>
      <c r="N1027" s="294">
        <v>299999</v>
      </c>
      <c r="O1027" s="286"/>
      <c r="P1027" s="286"/>
      <c r="Q1027" s="286"/>
      <c r="R1027" s="78"/>
      <c r="S1027" s="70"/>
      <c r="T1027" s="70"/>
      <c r="U1027" s="70">
        <v>299999</v>
      </c>
      <c r="V1027" s="24"/>
      <c r="W1027" s="14"/>
      <c r="X1027" s="30"/>
      <c r="Y1027" s="30"/>
      <c r="Z1027" s="30"/>
      <c r="AA1027" s="30"/>
      <c r="AB1027" s="22"/>
      <c r="AC1027" s="22"/>
      <c r="AD1027" s="22"/>
      <c r="AE1027" s="22"/>
      <c r="AF1027" s="22"/>
      <c r="AG1027" s="22"/>
      <c r="AH1027" s="22"/>
      <c r="AI1027" s="12"/>
      <c r="AJ1027" s="78">
        <v>100</v>
      </c>
      <c r="AK1027" s="78">
        <v>2021</v>
      </c>
      <c r="AL1027" s="85">
        <v>299999</v>
      </c>
      <c r="AM1027" s="84"/>
    </row>
    <row r="1028" spans="1:39" ht="33">
      <c r="A1028" s="34" t="s">
        <v>909</v>
      </c>
      <c r="E1028" s="37" t="s">
        <v>902</v>
      </c>
      <c r="F1028" s="37"/>
      <c r="G1028" s="80" t="s">
        <v>418</v>
      </c>
      <c r="H1028" s="93">
        <v>7321</v>
      </c>
      <c r="I1028" s="93" t="s">
        <v>108</v>
      </c>
      <c r="J1028" s="81" t="s">
        <v>419</v>
      </c>
      <c r="K1028" s="86" t="s">
        <v>669</v>
      </c>
      <c r="L1028" s="293">
        <f t="shared" si="224"/>
        <v>499940</v>
      </c>
      <c r="M1028" s="294"/>
      <c r="N1028" s="294">
        <v>499940</v>
      </c>
      <c r="O1028" s="286"/>
      <c r="P1028" s="286"/>
      <c r="Q1028" s="286"/>
      <c r="R1028" s="78"/>
      <c r="S1028" s="70"/>
      <c r="T1028" s="70"/>
      <c r="U1028" s="70">
        <v>499940</v>
      </c>
      <c r="V1028" s="24"/>
      <c r="W1028" s="14"/>
      <c r="X1028" s="30"/>
      <c r="Y1028" s="30"/>
      <c r="Z1028" s="30"/>
      <c r="AA1028" s="30"/>
      <c r="AB1028" s="22"/>
      <c r="AC1028" s="22"/>
      <c r="AD1028" s="22"/>
      <c r="AE1028" s="22"/>
      <c r="AF1028" s="22"/>
      <c r="AG1028" s="22"/>
      <c r="AH1028" s="22"/>
      <c r="AI1028" s="12"/>
      <c r="AJ1028" s="78">
        <v>100</v>
      </c>
      <c r="AK1028" s="78">
        <v>2021</v>
      </c>
      <c r="AL1028" s="85">
        <v>499940</v>
      </c>
      <c r="AM1028" s="84"/>
    </row>
    <row r="1029" spans="1:39" ht="33">
      <c r="A1029" s="34" t="s">
        <v>909</v>
      </c>
      <c r="E1029" s="37" t="s">
        <v>902</v>
      </c>
      <c r="F1029" s="37"/>
      <c r="G1029" s="80" t="s">
        <v>418</v>
      </c>
      <c r="H1029" s="93">
        <v>7321</v>
      </c>
      <c r="I1029" s="93" t="s">
        <v>108</v>
      </c>
      <c r="J1029" s="81" t="s">
        <v>419</v>
      </c>
      <c r="K1029" s="86" t="s">
        <v>1263</v>
      </c>
      <c r="L1029" s="293">
        <f t="shared" si="224"/>
        <v>580168</v>
      </c>
      <c r="M1029" s="294"/>
      <c r="N1029" s="294">
        <v>580168</v>
      </c>
      <c r="O1029" s="286"/>
      <c r="P1029" s="286"/>
      <c r="Q1029" s="286"/>
      <c r="R1029" s="78"/>
      <c r="S1029" s="70"/>
      <c r="T1029" s="70"/>
      <c r="U1029" s="70">
        <v>580168</v>
      </c>
      <c r="V1029" s="24"/>
      <c r="W1029" s="14"/>
      <c r="X1029" s="30"/>
      <c r="Y1029" s="30"/>
      <c r="Z1029" s="30"/>
      <c r="AA1029" s="30"/>
      <c r="AB1029" s="22"/>
      <c r="AC1029" s="22"/>
      <c r="AD1029" s="22"/>
      <c r="AE1029" s="22"/>
      <c r="AF1029" s="22"/>
      <c r="AG1029" s="22"/>
      <c r="AH1029" s="22"/>
      <c r="AI1029" s="12"/>
      <c r="AJ1029" s="78">
        <v>100</v>
      </c>
      <c r="AK1029" s="78">
        <v>2021</v>
      </c>
      <c r="AL1029" s="85">
        <v>580168</v>
      </c>
      <c r="AM1029" s="84"/>
    </row>
    <row r="1030" spans="1:39" ht="33">
      <c r="A1030" s="34" t="s">
        <v>909</v>
      </c>
      <c r="E1030" s="37" t="s">
        <v>903</v>
      </c>
      <c r="F1030" s="37"/>
      <c r="G1030" s="80" t="s">
        <v>418</v>
      </c>
      <c r="H1030" s="93">
        <v>7321</v>
      </c>
      <c r="I1030" s="93" t="s">
        <v>108</v>
      </c>
      <c r="J1030" s="81" t="s">
        <v>419</v>
      </c>
      <c r="K1030" s="86" t="s">
        <v>1164</v>
      </c>
      <c r="L1030" s="293">
        <f t="shared" si="224"/>
        <v>599541</v>
      </c>
      <c r="M1030" s="294"/>
      <c r="N1030" s="294">
        <v>599541</v>
      </c>
      <c r="O1030" s="286"/>
      <c r="P1030" s="286"/>
      <c r="Q1030" s="286"/>
      <c r="R1030" s="78"/>
      <c r="S1030" s="70"/>
      <c r="T1030" s="70"/>
      <c r="U1030" s="70">
        <v>599541</v>
      </c>
      <c r="V1030" s="24"/>
      <c r="W1030" s="14"/>
      <c r="X1030" s="30"/>
      <c r="Y1030" s="30"/>
      <c r="Z1030" s="30"/>
      <c r="AA1030" s="30"/>
      <c r="AB1030" s="22"/>
      <c r="AC1030" s="22"/>
      <c r="AD1030" s="22"/>
      <c r="AE1030" s="22"/>
      <c r="AF1030" s="22"/>
      <c r="AG1030" s="22"/>
      <c r="AH1030" s="22"/>
      <c r="AI1030" s="12"/>
      <c r="AJ1030" s="78">
        <v>100</v>
      </c>
      <c r="AK1030" s="78">
        <v>2021</v>
      </c>
      <c r="AL1030" s="85">
        <v>599541</v>
      </c>
      <c r="AM1030" s="84"/>
    </row>
    <row r="1031" spans="1:39" ht="33">
      <c r="A1031" s="34" t="s">
        <v>909</v>
      </c>
      <c r="E1031" s="37" t="s">
        <v>903</v>
      </c>
      <c r="F1031" s="37"/>
      <c r="G1031" s="80" t="s">
        <v>418</v>
      </c>
      <c r="H1031" s="93">
        <v>7321</v>
      </c>
      <c r="I1031" s="93" t="s">
        <v>108</v>
      </c>
      <c r="J1031" s="81" t="s">
        <v>419</v>
      </c>
      <c r="K1031" s="86" t="s">
        <v>427</v>
      </c>
      <c r="L1031" s="293">
        <f t="shared" si="224"/>
        <v>599999</v>
      </c>
      <c r="M1031" s="294"/>
      <c r="N1031" s="294">
        <v>599999</v>
      </c>
      <c r="O1031" s="286"/>
      <c r="P1031" s="286"/>
      <c r="Q1031" s="286"/>
      <c r="R1031" s="78"/>
      <c r="S1031" s="70"/>
      <c r="T1031" s="70"/>
      <c r="U1031" s="70">
        <v>599999</v>
      </c>
      <c r="V1031" s="24"/>
      <c r="W1031" s="14"/>
      <c r="X1031" s="30"/>
      <c r="Y1031" s="30"/>
      <c r="Z1031" s="30"/>
      <c r="AA1031" s="30"/>
      <c r="AB1031" s="22"/>
      <c r="AC1031" s="22"/>
      <c r="AD1031" s="22"/>
      <c r="AE1031" s="22"/>
      <c r="AF1031" s="22"/>
      <c r="AG1031" s="22"/>
      <c r="AH1031" s="22"/>
      <c r="AI1031" s="12"/>
      <c r="AJ1031" s="78">
        <v>100</v>
      </c>
      <c r="AK1031" s="78">
        <v>2021</v>
      </c>
      <c r="AL1031" s="85">
        <v>599999</v>
      </c>
      <c r="AM1031" s="84"/>
    </row>
    <row r="1032" spans="1:39" ht="33">
      <c r="A1032" s="34" t="s">
        <v>909</v>
      </c>
      <c r="E1032" s="37" t="s">
        <v>903</v>
      </c>
      <c r="F1032" s="37"/>
      <c r="G1032" s="80" t="s">
        <v>418</v>
      </c>
      <c r="H1032" s="93">
        <v>7321</v>
      </c>
      <c r="I1032" s="93" t="s">
        <v>108</v>
      </c>
      <c r="J1032" s="81" t="s">
        <v>419</v>
      </c>
      <c r="K1032" s="86" t="s">
        <v>428</v>
      </c>
      <c r="L1032" s="293">
        <f t="shared" si="224"/>
        <v>599970</v>
      </c>
      <c r="M1032" s="294"/>
      <c r="N1032" s="294">
        <v>599970</v>
      </c>
      <c r="O1032" s="286"/>
      <c r="P1032" s="286"/>
      <c r="Q1032" s="286"/>
      <c r="R1032" s="78"/>
      <c r="S1032" s="70"/>
      <c r="T1032" s="70"/>
      <c r="U1032" s="70">
        <v>599970</v>
      </c>
      <c r="V1032" s="24"/>
      <c r="W1032" s="14"/>
      <c r="X1032" s="30"/>
      <c r="Y1032" s="30"/>
      <c r="Z1032" s="30"/>
      <c r="AA1032" s="30"/>
      <c r="AB1032" s="22"/>
      <c r="AC1032" s="22"/>
      <c r="AD1032" s="22"/>
      <c r="AE1032" s="22"/>
      <c r="AF1032" s="22"/>
      <c r="AG1032" s="22"/>
      <c r="AH1032" s="22"/>
      <c r="AI1032" s="12"/>
      <c r="AJ1032" s="78">
        <v>100</v>
      </c>
      <c r="AK1032" s="78">
        <v>2021</v>
      </c>
      <c r="AL1032" s="85">
        <v>599970</v>
      </c>
      <c r="AM1032" s="84"/>
    </row>
    <row r="1033" spans="1:39" ht="33">
      <c r="A1033" s="34" t="s">
        <v>909</v>
      </c>
      <c r="E1033" s="37" t="s">
        <v>903</v>
      </c>
      <c r="F1033" s="37"/>
      <c r="G1033" s="80" t="s">
        <v>418</v>
      </c>
      <c r="H1033" s="93">
        <v>7321</v>
      </c>
      <c r="I1033" s="93" t="s">
        <v>108</v>
      </c>
      <c r="J1033" s="81" t="s">
        <v>419</v>
      </c>
      <c r="K1033" s="86" t="s">
        <v>429</v>
      </c>
      <c r="L1033" s="293">
        <f t="shared" si="224"/>
        <v>593200</v>
      </c>
      <c r="M1033" s="294"/>
      <c r="N1033" s="294">
        <v>593200</v>
      </c>
      <c r="O1033" s="286"/>
      <c r="P1033" s="286"/>
      <c r="Q1033" s="286"/>
      <c r="R1033" s="78"/>
      <c r="S1033" s="70"/>
      <c r="T1033" s="70"/>
      <c r="U1033" s="70">
        <v>593200</v>
      </c>
      <c r="V1033" s="24"/>
      <c r="W1033" s="14"/>
      <c r="X1033" s="30"/>
      <c r="Y1033" s="30"/>
      <c r="Z1033" s="30"/>
      <c r="AA1033" s="30"/>
      <c r="AB1033" s="22"/>
      <c r="AC1033" s="22"/>
      <c r="AD1033" s="22"/>
      <c r="AE1033" s="22"/>
      <c r="AF1033" s="22"/>
      <c r="AG1033" s="22"/>
      <c r="AH1033" s="22"/>
      <c r="AI1033" s="12"/>
      <c r="AJ1033" s="78">
        <v>100</v>
      </c>
      <c r="AK1033" s="78">
        <v>2021</v>
      </c>
      <c r="AL1033" s="85">
        <v>593200</v>
      </c>
      <c r="AM1033" s="84"/>
    </row>
    <row r="1034" spans="1:39" ht="33">
      <c r="A1034" s="34" t="s">
        <v>909</v>
      </c>
      <c r="E1034" s="37" t="s">
        <v>903</v>
      </c>
      <c r="F1034" s="37"/>
      <c r="G1034" s="80" t="s">
        <v>418</v>
      </c>
      <c r="H1034" s="93">
        <v>7321</v>
      </c>
      <c r="I1034" s="93" t="s">
        <v>108</v>
      </c>
      <c r="J1034" s="81" t="s">
        <v>419</v>
      </c>
      <c r="K1034" s="86" t="s">
        <v>430</v>
      </c>
      <c r="L1034" s="293">
        <f t="shared" si="224"/>
        <v>599600</v>
      </c>
      <c r="M1034" s="294"/>
      <c r="N1034" s="294">
        <v>599600</v>
      </c>
      <c r="O1034" s="286"/>
      <c r="P1034" s="286"/>
      <c r="Q1034" s="286"/>
      <c r="R1034" s="78"/>
      <c r="S1034" s="70"/>
      <c r="T1034" s="70"/>
      <c r="U1034" s="70">
        <v>599600</v>
      </c>
      <c r="V1034" s="24"/>
      <c r="W1034" s="14"/>
      <c r="X1034" s="30"/>
      <c r="Y1034" s="30"/>
      <c r="Z1034" s="30"/>
      <c r="AA1034" s="30"/>
      <c r="AB1034" s="22"/>
      <c r="AC1034" s="22"/>
      <c r="AD1034" s="22"/>
      <c r="AE1034" s="22"/>
      <c r="AF1034" s="22"/>
      <c r="AG1034" s="22"/>
      <c r="AH1034" s="22"/>
      <c r="AI1034" s="12"/>
      <c r="AJ1034" s="78">
        <v>100</v>
      </c>
      <c r="AK1034" s="78">
        <v>2021</v>
      </c>
      <c r="AL1034" s="85">
        <v>599600</v>
      </c>
      <c r="AM1034" s="84"/>
    </row>
    <row r="1035" spans="1:39" ht="33">
      <c r="A1035" s="34" t="s">
        <v>909</v>
      </c>
      <c r="E1035" s="37" t="s">
        <v>903</v>
      </c>
      <c r="F1035" s="37"/>
      <c r="G1035" s="80" t="s">
        <v>418</v>
      </c>
      <c r="H1035" s="93">
        <v>7321</v>
      </c>
      <c r="I1035" s="93" t="s">
        <v>108</v>
      </c>
      <c r="J1035" s="81" t="s">
        <v>419</v>
      </c>
      <c r="K1035" s="86" t="s">
        <v>431</v>
      </c>
      <c r="L1035" s="293">
        <f t="shared" si="224"/>
        <v>597000</v>
      </c>
      <c r="M1035" s="294"/>
      <c r="N1035" s="294">
        <v>597000</v>
      </c>
      <c r="O1035" s="286"/>
      <c r="P1035" s="286"/>
      <c r="Q1035" s="286"/>
      <c r="R1035" s="78"/>
      <c r="S1035" s="70"/>
      <c r="T1035" s="70"/>
      <c r="U1035" s="70">
        <v>597000</v>
      </c>
      <c r="V1035" s="24"/>
      <c r="W1035" s="14"/>
      <c r="X1035" s="30"/>
      <c r="Y1035" s="30"/>
      <c r="Z1035" s="30"/>
      <c r="AA1035" s="30"/>
      <c r="AB1035" s="22"/>
      <c r="AC1035" s="22"/>
      <c r="AD1035" s="22"/>
      <c r="AE1035" s="22"/>
      <c r="AF1035" s="22"/>
      <c r="AG1035" s="22"/>
      <c r="AH1035" s="22"/>
      <c r="AI1035" s="12"/>
      <c r="AJ1035" s="78">
        <v>100</v>
      </c>
      <c r="AK1035" s="78">
        <v>2021</v>
      </c>
      <c r="AL1035" s="85">
        <v>597000</v>
      </c>
      <c r="AM1035" s="84"/>
    </row>
    <row r="1036" spans="1:39" ht="33">
      <c r="A1036" s="34" t="s">
        <v>909</v>
      </c>
      <c r="E1036" s="37" t="s">
        <v>906</v>
      </c>
      <c r="F1036" s="37"/>
      <c r="G1036" s="80" t="s">
        <v>418</v>
      </c>
      <c r="H1036" s="93">
        <v>7321</v>
      </c>
      <c r="I1036" s="93" t="s">
        <v>108</v>
      </c>
      <c r="J1036" s="81" t="s">
        <v>419</v>
      </c>
      <c r="K1036" s="86" t="s">
        <v>432</v>
      </c>
      <c r="L1036" s="293">
        <f t="shared" si="224"/>
        <v>590000</v>
      </c>
      <c r="M1036" s="294"/>
      <c r="N1036" s="294">
        <v>590000</v>
      </c>
      <c r="O1036" s="286"/>
      <c r="P1036" s="286"/>
      <c r="Q1036" s="286"/>
      <c r="R1036" s="78"/>
      <c r="S1036" s="70"/>
      <c r="T1036" s="70"/>
      <c r="U1036" s="70">
        <v>590000</v>
      </c>
      <c r="V1036" s="24"/>
      <c r="W1036" s="14"/>
      <c r="X1036" s="30"/>
      <c r="Y1036" s="30"/>
      <c r="Z1036" s="30"/>
      <c r="AA1036" s="30"/>
      <c r="AB1036" s="22"/>
      <c r="AC1036" s="22"/>
      <c r="AD1036" s="22"/>
      <c r="AE1036" s="22"/>
      <c r="AF1036" s="22"/>
      <c r="AG1036" s="22"/>
      <c r="AH1036" s="22"/>
      <c r="AI1036" s="12"/>
      <c r="AJ1036" s="78">
        <v>100</v>
      </c>
      <c r="AK1036" s="78">
        <v>2021</v>
      </c>
      <c r="AL1036" s="85">
        <v>590000</v>
      </c>
      <c r="AM1036" s="84"/>
    </row>
    <row r="1037" spans="1:39" ht="33">
      <c r="A1037" s="34" t="s">
        <v>909</v>
      </c>
      <c r="E1037" s="37" t="s">
        <v>906</v>
      </c>
      <c r="F1037" s="37"/>
      <c r="G1037" s="80" t="s">
        <v>418</v>
      </c>
      <c r="H1037" s="93">
        <v>7321</v>
      </c>
      <c r="I1037" s="93" t="s">
        <v>108</v>
      </c>
      <c r="J1037" s="81" t="s">
        <v>419</v>
      </c>
      <c r="K1037" s="86" t="s">
        <v>1165</v>
      </c>
      <c r="L1037" s="293">
        <f t="shared" si="224"/>
        <v>471988</v>
      </c>
      <c r="M1037" s="294"/>
      <c r="N1037" s="294">
        <v>471988</v>
      </c>
      <c r="O1037" s="286"/>
      <c r="P1037" s="286"/>
      <c r="Q1037" s="286"/>
      <c r="R1037" s="78"/>
      <c r="S1037" s="70"/>
      <c r="T1037" s="70"/>
      <c r="U1037" s="70">
        <v>471988</v>
      </c>
      <c r="V1037" s="24"/>
      <c r="W1037" s="14"/>
      <c r="X1037" s="30"/>
      <c r="Y1037" s="30"/>
      <c r="Z1037" s="30"/>
      <c r="AA1037" s="30"/>
      <c r="AB1037" s="22"/>
      <c r="AC1037" s="22"/>
      <c r="AD1037" s="22"/>
      <c r="AE1037" s="22"/>
      <c r="AF1037" s="22"/>
      <c r="AG1037" s="22"/>
      <c r="AH1037" s="22"/>
      <c r="AI1037" s="12"/>
      <c r="AJ1037" s="78">
        <v>100</v>
      </c>
      <c r="AK1037" s="78">
        <v>2021</v>
      </c>
      <c r="AL1037" s="85">
        <v>471988</v>
      </c>
      <c r="AM1037" s="84"/>
    </row>
    <row r="1038" spans="1:39" ht="33">
      <c r="A1038" s="34" t="s">
        <v>909</v>
      </c>
      <c r="E1038" s="37" t="s">
        <v>906</v>
      </c>
      <c r="F1038" s="37"/>
      <c r="G1038" s="80" t="s">
        <v>418</v>
      </c>
      <c r="H1038" s="93">
        <v>7321</v>
      </c>
      <c r="I1038" s="93" t="s">
        <v>108</v>
      </c>
      <c r="J1038" s="81" t="s">
        <v>419</v>
      </c>
      <c r="K1038" s="86" t="s">
        <v>1288</v>
      </c>
      <c r="L1038" s="293">
        <f t="shared" si="224"/>
        <v>599998</v>
      </c>
      <c r="M1038" s="294"/>
      <c r="N1038" s="294">
        <v>599998</v>
      </c>
      <c r="O1038" s="286"/>
      <c r="P1038" s="286"/>
      <c r="Q1038" s="286"/>
      <c r="R1038" s="78"/>
      <c r="S1038" s="70"/>
      <c r="T1038" s="70"/>
      <c r="U1038" s="70">
        <v>599998</v>
      </c>
      <c r="V1038" s="24"/>
      <c r="W1038" s="14"/>
      <c r="X1038" s="30"/>
      <c r="Y1038" s="30"/>
      <c r="Z1038" s="30"/>
      <c r="AA1038" s="30"/>
      <c r="AB1038" s="22"/>
      <c r="AC1038" s="22"/>
      <c r="AD1038" s="22"/>
      <c r="AE1038" s="22"/>
      <c r="AF1038" s="22"/>
      <c r="AG1038" s="22"/>
      <c r="AH1038" s="22"/>
      <c r="AI1038" s="12"/>
      <c r="AJ1038" s="78">
        <v>100</v>
      </c>
      <c r="AK1038" s="78">
        <v>2021</v>
      </c>
      <c r="AL1038" s="85">
        <v>599998</v>
      </c>
      <c r="AM1038" s="84"/>
    </row>
    <row r="1039" spans="1:39" ht="33">
      <c r="A1039" s="34" t="s">
        <v>909</v>
      </c>
      <c r="E1039" s="37" t="s">
        <v>906</v>
      </c>
      <c r="F1039" s="37"/>
      <c r="G1039" s="80" t="s">
        <v>418</v>
      </c>
      <c r="H1039" s="93">
        <v>7321</v>
      </c>
      <c r="I1039" s="93" t="s">
        <v>108</v>
      </c>
      <c r="J1039" s="81" t="s">
        <v>419</v>
      </c>
      <c r="K1039" s="86" t="s">
        <v>670</v>
      </c>
      <c r="L1039" s="293">
        <f t="shared" si="224"/>
        <v>598555</v>
      </c>
      <c r="M1039" s="294"/>
      <c r="N1039" s="294">
        <v>598555</v>
      </c>
      <c r="O1039" s="286"/>
      <c r="P1039" s="286"/>
      <c r="Q1039" s="286"/>
      <c r="R1039" s="78"/>
      <c r="S1039" s="70"/>
      <c r="T1039" s="70"/>
      <c r="U1039" s="70">
        <v>598555</v>
      </c>
      <c r="V1039" s="24"/>
      <c r="W1039" s="14"/>
      <c r="X1039" s="30"/>
      <c r="Y1039" s="30"/>
      <c r="Z1039" s="30"/>
      <c r="AA1039" s="30"/>
      <c r="AB1039" s="22"/>
      <c r="AC1039" s="22"/>
      <c r="AD1039" s="22"/>
      <c r="AE1039" s="22"/>
      <c r="AF1039" s="22"/>
      <c r="AG1039" s="22"/>
      <c r="AH1039" s="22"/>
      <c r="AI1039" s="12"/>
      <c r="AJ1039" s="78">
        <v>100</v>
      </c>
      <c r="AK1039" s="78">
        <v>2021</v>
      </c>
      <c r="AL1039" s="85">
        <v>598555</v>
      </c>
      <c r="AM1039" s="84"/>
    </row>
    <row r="1040" spans="1:39" ht="33">
      <c r="A1040" s="34" t="s">
        <v>909</v>
      </c>
      <c r="E1040" s="37" t="s">
        <v>906</v>
      </c>
      <c r="F1040" s="37"/>
      <c r="G1040" s="80" t="s">
        <v>418</v>
      </c>
      <c r="H1040" s="93">
        <v>7321</v>
      </c>
      <c r="I1040" s="93" t="s">
        <v>108</v>
      </c>
      <c r="J1040" s="81" t="s">
        <v>419</v>
      </c>
      <c r="K1040" s="86" t="s">
        <v>433</v>
      </c>
      <c r="L1040" s="293">
        <f t="shared" si="224"/>
        <v>593517</v>
      </c>
      <c r="M1040" s="294"/>
      <c r="N1040" s="294">
        <v>593517</v>
      </c>
      <c r="O1040" s="286"/>
      <c r="P1040" s="286"/>
      <c r="Q1040" s="286"/>
      <c r="R1040" s="78"/>
      <c r="S1040" s="70"/>
      <c r="T1040" s="70"/>
      <c r="U1040" s="70">
        <v>593517</v>
      </c>
      <c r="V1040" s="24"/>
      <c r="W1040" s="14"/>
      <c r="X1040" s="30"/>
      <c r="Y1040" s="30"/>
      <c r="Z1040" s="30"/>
      <c r="AA1040" s="30"/>
      <c r="AB1040" s="22"/>
      <c r="AC1040" s="22"/>
      <c r="AD1040" s="22"/>
      <c r="AE1040" s="22"/>
      <c r="AF1040" s="22"/>
      <c r="AG1040" s="22"/>
      <c r="AH1040" s="22"/>
      <c r="AI1040" s="12"/>
      <c r="AJ1040" s="78">
        <v>100</v>
      </c>
      <c r="AK1040" s="78">
        <v>2021</v>
      </c>
      <c r="AL1040" s="85">
        <v>593517</v>
      </c>
      <c r="AM1040" s="84"/>
    </row>
    <row r="1041" spans="1:39" ht="33">
      <c r="A1041" s="34" t="s">
        <v>909</v>
      </c>
      <c r="E1041" s="37" t="s">
        <v>904</v>
      </c>
      <c r="F1041" s="37"/>
      <c r="G1041" s="80" t="s">
        <v>418</v>
      </c>
      <c r="H1041" s="93">
        <v>7321</v>
      </c>
      <c r="I1041" s="93" t="s">
        <v>108</v>
      </c>
      <c r="J1041" s="81" t="s">
        <v>419</v>
      </c>
      <c r="K1041" s="86" t="s">
        <v>1166</v>
      </c>
      <c r="L1041" s="293">
        <f t="shared" si="224"/>
        <v>599999</v>
      </c>
      <c r="M1041" s="294"/>
      <c r="N1041" s="294">
        <v>599999</v>
      </c>
      <c r="O1041" s="286"/>
      <c r="P1041" s="286"/>
      <c r="Q1041" s="286"/>
      <c r="R1041" s="78"/>
      <c r="S1041" s="70"/>
      <c r="T1041" s="70"/>
      <c r="U1041" s="70">
        <v>599999</v>
      </c>
      <c r="V1041" s="24"/>
      <c r="W1041" s="14"/>
      <c r="X1041" s="30"/>
      <c r="Y1041" s="30"/>
      <c r="Z1041" s="30"/>
      <c r="AA1041" s="30"/>
      <c r="AB1041" s="22"/>
      <c r="AC1041" s="22"/>
      <c r="AD1041" s="22"/>
      <c r="AE1041" s="22"/>
      <c r="AF1041" s="22"/>
      <c r="AG1041" s="22"/>
      <c r="AH1041" s="22"/>
      <c r="AI1041" s="12"/>
      <c r="AJ1041" s="78">
        <v>100</v>
      </c>
      <c r="AK1041" s="78">
        <v>2021</v>
      </c>
      <c r="AL1041" s="85">
        <v>599999</v>
      </c>
      <c r="AM1041" s="84"/>
    </row>
    <row r="1042" spans="1:39" ht="33">
      <c r="A1042" s="34" t="s">
        <v>909</v>
      </c>
      <c r="E1042" s="37" t="s">
        <v>904</v>
      </c>
      <c r="F1042" s="37"/>
      <c r="G1042" s="80" t="s">
        <v>418</v>
      </c>
      <c r="H1042" s="93">
        <v>7321</v>
      </c>
      <c r="I1042" s="93" t="s">
        <v>108</v>
      </c>
      <c r="J1042" s="81" t="s">
        <v>419</v>
      </c>
      <c r="K1042" s="86" t="s">
        <v>435</v>
      </c>
      <c r="L1042" s="293">
        <f t="shared" si="224"/>
        <v>599999</v>
      </c>
      <c r="M1042" s="294"/>
      <c r="N1042" s="294">
        <v>599999</v>
      </c>
      <c r="O1042" s="286"/>
      <c r="P1042" s="286"/>
      <c r="Q1042" s="286"/>
      <c r="R1042" s="78"/>
      <c r="S1042" s="70"/>
      <c r="T1042" s="70"/>
      <c r="U1042" s="70">
        <v>599999</v>
      </c>
      <c r="V1042" s="24"/>
      <c r="W1042" s="14"/>
      <c r="X1042" s="30"/>
      <c r="Y1042" s="30"/>
      <c r="Z1042" s="30"/>
      <c r="AA1042" s="30"/>
      <c r="AB1042" s="22"/>
      <c r="AC1042" s="22"/>
      <c r="AD1042" s="22"/>
      <c r="AE1042" s="22"/>
      <c r="AF1042" s="22"/>
      <c r="AG1042" s="22"/>
      <c r="AH1042" s="22"/>
      <c r="AI1042" s="12"/>
      <c r="AJ1042" s="78">
        <v>100</v>
      </c>
      <c r="AK1042" s="78">
        <v>2021</v>
      </c>
      <c r="AL1042" s="85">
        <v>599999</v>
      </c>
      <c r="AM1042" s="84"/>
    </row>
    <row r="1043" spans="1:39" ht="33">
      <c r="A1043" s="34" t="s">
        <v>909</v>
      </c>
      <c r="E1043" s="37" t="s">
        <v>904</v>
      </c>
      <c r="F1043" s="37"/>
      <c r="G1043" s="80" t="s">
        <v>418</v>
      </c>
      <c r="H1043" s="93">
        <v>7321</v>
      </c>
      <c r="I1043" s="93" t="s">
        <v>108</v>
      </c>
      <c r="J1043" s="81" t="s">
        <v>419</v>
      </c>
      <c r="K1043" s="86" t="s">
        <v>439</v>
      </c>
      <c r="L1043" s="293">
        <f t="shared" si="224"/>
        <v>527920</v>
      </c>
      <c r="M1043" s="294"/>
      <c r="N1043" s="294">
        <v>527920</v>
      </c>
      <c r="O1043" s="286"/>
      <c r="P1043" s="286"/>
      <c r="Q1043" s="286"/>
      <c r="R1043" s="78"/>
      <c r="S1043" s="70"/>
      <c r="T1043" s="70"/>
      <c r="U1043" s="70">
        <v>527920</v>
      </c>
      <c r="V1043" s="24"/>
      <c r="W1043" s="14"/>
      <c r="X1043" s="30"/>
      <c r="Y1043" s="30"/>
      <c r="Z1043" s="30"/>
      <c r="AA1043" s="30"/>
      <c r="AB1043" s="22"/>
      <c r="AC1043" s="22"/>
      <c r="AD1043" s="22"/>
      <c r="AE1043" s="22"/>
      <c r="AF1043" s="22"/>
      <c r="AG1043" s="22"/>
      <c r="AH1043" s="22"/>
      <c r="AI1043" s="12"/>
      <c r="AJ1043" s="78">
        <v>100</v>
      </c>
      <c r="AK1043" s="78">
        <v>2021</v>
      </c>
      <c r="AL1043" s="85">
        <v>527920</v>
      </c>
      <c r="AM1043" s="84"/>
    </row>
    <row r="1044" spans="1:39" ht="33">
      <c r="A1044" s="34" t="s">
        <v>909</v>
      </c>
      <c r="E1044" s="37" t="s">
        <v>905</v>
      </c>
      <c r="F1044" s="37"/>
      <c r="G1044" s="80" t="s">
        <v>418</v>
      </c>
      <c r="H1044" s="93">
        <v>7321</v>
      </c>
      <c r="I1044" s="93" t="s">
        <v>108</v>
      </c>
      <c r="J1044" s="81" t="s">
        <v>419</v>
      </c>
      <c r="K1044" s="86" t="s">
        <v>441</v>
      </c>
      <c r="L1044" s="293">
        <f t="shared" si="224"/>
        <v>299144</v>
      </c>
      <c r="M1044" s="294"/>
      <c r="N1044" s="294">
        <v>299144</v>
      </c>
      <c r="O1044" s="286"/>
      <c r="P1044" s="286"/>
      <c r="Q1044" s="286"/>
      <c r="R1044" s="78"/>
      <c r="S1044" s="70"/>
      <c r="T1044" s="70"/>
      <c r="U1044" s="70">
        <v>299144</v>
      </c>
      <c r="V1044" s="24"/>
      <c r="W1044" s="14"/>
      <c r="X1044" s="30"/>
      <c r="Y1044" s="30"/>
      <c r="Z1044" s="30"/>
      <c r="AA1044" s="30"/>
      <c r="AB1044" s="22"/>
      <c r="AC1044" s="22"/>
      <c r="AD1044" s="22"/>
      <c r="AE1044" s="22"/>
      <c r="AF1044" s="22"/>
      <c r="AG1044" s="22"/>
      <c r="AH1044" s="22"/>
      <c r="AI1044" s="12"/>
      <c r="AJ1044" s="78">
        <v>100</v>
      </c>
      <c r="AK1044" s="78">
        <v>2021</v>
      </c>
      <c r="AL1044" s="85">
        <v>299144</v>
      </c>
      <c r="AM1044" s="84"/>
    </row>
    <row r="1045" spans="1:39" ht="49.5">
      <c r="A1045" s="34" t="s">
        <v>909</v>
      </c>
      <c r="E1045" s="37" t="s">
        <v>905</v>
      </c>
      <c r="F1045" s="37"/>
      <c r="G1045" s="80" t="s">
        <v>418</v>
      </c>
      <c r="H1045" s="93">
        <v>7321</v>
      </c>
      <c r="I1045" s="93" t="s">
        <v>108</v>
      </c>
      <c r="J1045" s="81" t="s">
        <v>419</v>
      </c>
      <c r="K1045" s="86" t="s">
        <v>1264</v>
      </c>
      <c r="L1045" s="293">
        <f t="shared" si="224"/>
        <v>299060</v>
      </c>
      <c r="M1045" s="294"/>
      <c r="N1045" s="294">
        <v>299060</v>
      </c>
      <c r="O1045" s="286"/>
      <c r="P1045" s="286"/>
      <c r="Q1045" s="286"/>
      <c r="R1045" s="78"/>
      <c r="S1045" s="70"/>
      <c r="T1045" s="70"/>
      <c r="U1045" s="70">
        <v>299060</v>
      </c>
      <c r="V1045" s="24"/>
      <c r="W1045" s="14"/>
      <c r="X1045" s="30"/>
      <c r="Y1045" s="30"/>
      <c r="Z1045" s="30"/>
      <c r="AA1045" s="30"/>
      <c r="AB1045" s="22"/>
      <c r="AC1045" s="22"/>
      <c r="AD1045" s="22"/>
      <c r="AE1045" s="22"/>
      <c r="AF1045" s="22"/>
      <c r="AG1045" s="22"/>
      <c r="AH1045" s="22"/>
      <c r="AI1045" s="12"/>
      <c r="AJ1045" s="78">
        <v>100</v>
      </c>
      <c r="AK1045" s="78">
        <v>2021</v>
      </c>
      <c r="AL1045" s="85">
        <v>299060</v>
      </c>
      <c r="AM1045" s="84"/>
    </row>
    <row r="1046" spans="1:39" ht="33">
      <c r="A1046" s="34" t="s">
        <v>909</v>
      </c>
      <c r="E1046" s="37" t="s">
        <v>905</v>
      </c>
      <c r="F1046" s="37"/>
      <c r="G1046" s="80" t="s">
        <v>418</v>
      </c>
      <c r="H1046" s="93">
        <v>7321</v>
      </c>
      <c r="I1046" s="93" t="s">
        <v>108</v>
      </c>
      <c r="J1046" s="81" t="s">
        <v>419</v>
      </c>
      <c r="K1046" s="86" t="s">
        <v>443</v>
      </c>
      <c r="L1046" s="293">
        <f t="shared" si="224"/>
        <v>260400</v>
      </c>
      <c r="M1046" s="294"/>
      <c r="N1046" s="294">
        <v>260400</v>
      </c>
      <c r="O1046" s="286"/>
      <c r="P1046" s="286"/>
      <c r="Q1046" s="286"/>
      <c r="R1046" s="78"/>
      <c r="S1046" s="70"/>
      <c r="T1046" s="70"/>
      <c r="U1046" s="70">
        <v>260400</v>
      </c>
      <c r="V1046" s="24"/>
      <c r="W1046" s="14"/>
      <c r="X1046" s="30"/>
      <c r="Y1046" s="30"/>
      <c r="Z1046" s="30"/>
      <c r="AA1046" s="30"/>
      <c r="AB1046" s="22"/>
      <c r="AC1046" s="22"/>
      <c r="AD1046" s="22"/>
      <c r="AE1046" s="22"/>
      <c r="AF1046" s="22"/>
      <c r="AG1046" s="22"/>
      <c r="AH1046" s="22"/>
      <c r="AI1046" s="12"/>
      <c r="AJ1046" s="78">
        <v>100</v>
      </c>
      <c r="AK1046" s="78">
        <v>2021</v>
      </c>
      <c r="AL1046" s="85">
        <v>260400</v>
      </c>
      <c r="AM1046" s="84"/>
    </row>
    <row r="1047" spans="1:39" ht="66">
      <c r="A1047" s="34" t="s">
        <v>909</v>
      </c>
      <c r="E1047" s="37" t="s">
        <v>902</v>
      </c>
      <c r="F1047" s="37"/>
      <c r="G1047" s="80" t="s">
        <v>418</v>
      </c>
      <c r="H1047" s="93">
        <v>7321</v>
      </c>
      <c r="I1047" s="93" t="s">
        <v>108</v>
      </c>
      <c r="J1047" s="81" t="s">
        <v>419</v>
      </c>
      <c r="K1047" s="86" t="s">
        <v>1265</v>
      </c>
      <c r="L1047" s="293">
        <f t="shared" si="224"/>
        <v>430000</v>
      </c>
      <c r="M1047" s="294"/>
      <c r="N1047" s="294">
        <v>430000</v>
      </c>
      <c r="O1047" s="286"/>
      <c r="P1047" s="286"/>
      <c r="Q1047" s="286"/>
      <c r="R1047" s="78"/>
      <c r="S1047" s="70"/>
      <c r="T1047" s="70"/>
      <c r="U1047" s="70">
        <v>430000</v>
      </c>
      <c r="V1047" s="24"/>
      <c r="W1047" s="14"/>
      <c r="X1047" s="30"/>
      <c r="Y1047" s="30"/>
      <c r="Z1047" s="30"/>
      <c r="AA1047" s="30"/>
      <c r="AB1047" s="22"/>
      <c r="AC1047" s="22"/>
      <c r="AD1047" s="22"/>
      <c r="AE1047" s="22"/>
      <c r="AF1047" s="22"/>
      <c r="AG1047" s="22"/>
      <c r="AH1047" s="22"/>
      <c r="AI1047" s="12"/>
      <c r="AJ1047" s="78">
        <v>100</v>
      </c>
      <c r="AK1047" s="78">
        <v>2021</v>
      </c>
      <c r="AL1047" s="85">
        <v>430000</v>
      </c>
      <c r="AM1047" s="84"/>
    </row>
    <row r="1048" spans="1:39" ht="33">
      <c r="A1048" s="34" t="s">
        <v>909</v>
      </c>
      <c r="E1048" s="37" t="s">
        <v>903</v>
      </c>
      <c r="F1048" s="37"/>
      <c r="G1048" s="80" t="s">
        <v>418</v>
      </c>
      <c r="H1048" s="93">
        <v>7321</v>
      </c>
      <c r="I1048" s="93" t="s">
        <v>108</v>
      </c>
      <c r="J1048" s="81" t="s">
        <v>419</v>
      </c>
      <c r="K1048" s="86" t="s">
        <v>446</v>
      </c>
      <c r="L1048" s="293">
        <f t="shared" si="224"/>
        <v>590000</v>
      </c>
      <c r="M1048" s="294"/>
      <c r="N1048" s="294">
        <v>590000</v>
      </c>
      <c r="O1048" s="286"/>
      <c r="P1048" s="286"/>
      <c r="Q1048" s="286"/>
      <c r="R1048" s="78"/>
      <c r="S1048" s="70"/>
      <c r="T1048" s="70"/>
      <c r="U1048" s="70">
        <v>590000</v>
      </c>
      <c r="V1048" s="24"/>
      <c r="W1048" s="14"/>
      <c r="X1048" s="30"/>
      <c r="Y1048" s="30"/>
      <c r="Z1048" s="30"/>
      <c r="AA1048" s="30"/>
      <c r="AB1048" s="22"/>
      <c r="AC1048" s="22"/>
      <c r="AD1048" s="22"/>
      <c r="AE1048" s="22"/>
      <c r="AF1048" s="22"/>
      <c r="AG1048" s="22"/>
      <c r="AH1048" s="22"/>
      <c r="AI1048" s="12"/>
      <c r="AJ1048" s="78">
        <v>100</v>
      </c>
      <c r="AK1048" s="78">
        <v>2021</v>
      </c>
      <c r="AL1048" s="85">
        <v>590000</v>
      </c>
      <c r="AM1048" s="84"/>
    </row>
    <row r="1049" spans="1:39" ht="66">
      <c r="A1049" s="34" t="s">
        <v>909</v>
      </c>
      <c r="E1049" s="37" t="s">
        <v>902</v>
      </c>
      <c r="F1049" s="37"/>
      <c r="G1049" s="80" t="s">
        <v>418</v>
      </c>
      <c r="H1049" s="93">
        <v>7321</v>
      </c>
      <c r="I1049" s="93" t="s">
        <v>108</v>
      </c>
      <c r="J1049" s="81" t="s">
        <v>419</v>
      </c>
      <c r="K1049" s="86" t="s">
        <v>1266</v>
      </c>
      <c r="L1049" s="293">
        <f t="shared" si="224"/>
        <v>575006</v>
      </c>
      <c r="M1049" s="294"/>
      <c r="N1049" s="294">
        <v>575006</v>
      </c>
      <c r="O1049" s="286"/>
      <c r="P1049" s="286"/>
      <c r="Q1049" s="286"/>
      <c r="R1049" s="78"/>
      <c r="S1049" s="70"/>
      <c r="T1049" s="70"/>
      <c r="U1049" s="70">
        <v>575006</v>
      </c>
      <c r="V1049" s="24"/>
      <c r="W1049" s="14"/>
      <c r="X1049" s="30"/>
      <c r="Y1049" s="30"/>
      <c r="Z1049" s="30"/>
      <c r="AA1049" s="30"/>
      <c r="AB1049" s="22"/>
      <c r="AC1049" s="22"/>
      <c r="AD1049" s="22"/>
      <c r="AE1049" s="22"/>
      <c r="AF1049" s="22"/>
      <c r="AG1049" s="22"/>
      <c r="AH1049" s="22"/>
      <c r="AI1049" s="12"/>
      <c r="AJ1049" s="78">
        <v>100</v>
      </c>
      <c r="AK1049" s="78">
        <v>2021</v>
      </c>
      <c r="AL1049" s="85">
        <v>575006</v>
      </c>
      <c r="AM1049" s="84"/>
    </row>
    <row r="1050" spans="1:39" ht="49.5">
      <c r="A1050" s="34" t="s">
        <v>909</v>
      </c>
      <c r="E1050" s="37" t="s">
        <v>904</v>
      </c>
      <c r="F1050" s="37"/>
      <c r="G1050" s="80" t="s">
        <v>418</v>
      </c>
      <c r="H1050" s="93">
        <v>7321</v>
      </c>
      <c r="I1050" s="93" t="s">
        <v>108</v>
      </c>
      <c r="J1050" s="81" t="s">
        <v>419</v>
      </c>
      <c r="K1050" s="86" t="s">
        <v>447</v>
      </c>
      <c r="L1050" s="293">
        <f t="shared" si="224"/>
        <v>2999998</v>
      </c>
      <c r="M1050" s="294"/>
      <c r="N1050" s="294">
        <v>2999998</v>
      </c>
      <c r="O1050" s="286"/>
      <c r="P1050" s="286"/>
      <c r="Q1050" s="286"/>
      <c r="R1050" s="78"/>
      <c r="S1050" s="70"/>
      <c r="T1050" s="70"/>
      <c r="U1050" s="70">
        <v>2999998</v>
      </c>
      <c r="V1050" s="24"/>
      <c r="W1050" s="14"/>
      <c r="X1050" s="30"/>
      <c r="Y1050" s="30"/>
      <c r="Z1050" s="30"/>
      <c r="AA1050" s="30"/>
      <c r="AB1050" s="22"/>
      <c r="AC1050" s="22"/>
      <c r="AD1050" s="22"/>
      <c r="AE1050" s="22"/>
      <c r="AF1050" s="22"/>
      <c r="AG1050" s="22"/>
      <c r="AH1050" s="22"/>
      <c r="AI1050" s="12"/>
      <c r="AJ1050" s="78">
        <v>100</v>
      </c>
      <c r="AK1050" s="78">
        <v>2022</v>
      </c>
      <c r="AL1050" s="85">
        <v>2999998</v>
      </c>
      <c r="AM1050" s="84"/>
    </row>
    <row r="1051" spans="1:39" ht="33">
      <c r="A1051" s="34" t="s">
        <v>909</v>
      </c>
      <c r="E1051" s="37" t="s">
        <v>903</v>
      </c>
      <c r="F1051" s="37"/>
      <c r="G1051" s="80" t="s">
        <v>418</v>
      </c>
      <c r="H1051" s="93">
        <v>7321</v>
      </c>
      <c r="I1051" s="93" t="s">
        <v>108</v>
      </c>
      <c r="J1051" s="81" t="s">
        <v>419</v>
      </c>
      <c r="K1051" s="86" t="s">
        <v>1167</v>
      </c>
      <c r="L1051" s="293">
        <f t="shared" si="224"/>
        <v>2850000</v>
      </c>
      <c r="M1051" s="294"/>
      <c r="N1051" s="294">
        <v>2850000</v>
      </c>
      <c r="O1051" s="286"/>
      <c r="P1051" s="286"/>
      <c r="Q1051" s="286"/>
      <c r="R1051" s="78"/>
      <c r="S1051" s="70"/>
      <c r="T1051" s="70"/>
      <c r="U1051" s="70">
        <v>2850000</v>
      </c>
      <c r="V1051" s="24"/>
      <c r="W1051" s="14"/>
      <c r="X1051" s="30"/>
      <c r="Y1051" s="30"/>
      <c r="Z1051" s="30"/>
      <c r="AA1051" s="30"/>
      <c r="AB1051" s="22"/>
      <c r="AC1051" s="22"/>
      <c r="AD1051" s="22"/>
      <c r="AE1051" s="22"/>
      <c r="AF1051" s="22"/>
      <c r="AG1051" s="22"/>
      <c r="AH1051" s="22"/>
      <c r="AI1051" s="12"/>
      <c r="AJ1051" s="78">
        <v>100</v>
      </c>
      <c r="AK1051" s="78">
        <v>2022</v>
      </c>
      <c r="AL1051" s="85">
        <v>2850000</v>
      </c>
      <c r="AM1051" s="84"/>
    </row>
    <row r="1052" spans="1:39" ht="33">
      <c r="A1052" s="34" t="s">
        <v>909</v>
      </c>
      <c r="E1052" s="37" t="s">
        <v>906</v>
      </c>
      <c r="F1052" s="37"/>
      <c r="G1052" s="80" t="s">
        <v>418</v>
      </c>
      <c r="H1052" s="93">
        <v>7321</v>
      </c>
      <c r="I1052" s="93" t="s">
        <v>108</v>
      </c>
      <c r="J1052" s="81" t="s">
        <v>419</v>
      </c>
      <c r="K1052" s="86" t="s">
        <v>1289</v>
      </c>
      <c r="L1052" s="293">
        <f t="shared" si="224"/>
        <v>3000000</v>
      </c>
      <c r="M1052" s="294"/>
      <c r="N1052" s="294">
        <v>3000000</v>
      </c>
      <c r="O1052" s="286"/>
      <c r="P1052" s="286"/>
      <c r="Q1052" s="286"/>
      <c r="R1052" s="78"/>
      <c r="S1052" s="70"/>
      <c r="T1052" s="70"/>
      <c r="U1052" s="70">
        <v>3000000</v>
      </c>
      <c r="V1052" s="24"/>
      <c r="W1052" s="14"/>
      <c r="X1052" s="30"/>
      <c r="Y1052" s="30"/>
      <c r="Z1052" s="30"/>
      <c r="AA1052" s="30"/>
      <c r="AB1052" s="22"/>
      <c r="AC1052" s="22"/>
      <c r="AD1052" s="22"/>
      <c r="AE1052" s="22"/>
      <c r="AF1052" s="22"/>
      <c r="AG1052" s="22"/>
      <c r="AH1052" s="22"/>
      <c r="AI1052" s="12"/>
      <c r="AJ1052" s="78">
        <v>100</v>
      </c>
      <c r="AK1052" s="78">
        <v>2022</v>
      </c>
      <c r="AL1052" s="85">
        <v>3000000</v>
      </c>
      <c r="AM1052" s="84"/>
    </row>
    <row r="1053" spans="1:39" ht="33">
      <c r="A1053" s="34" t="s">
        <v>909</v>
      </c>
      <c r="E1053" s="37" t="s">
        <v>906</v>
      </c>
      <c r="F1053" s="37"/>
      <c r="G1053" s="80" t="s">
        <v>418</v>
      </c>
      <c r="H1053" s="93">
        <v>7321</v>
      </c>
      <c r="I1053" s="93" t="s">
        <v>108</v>
      </c>
      <c r="J1053" s="81" t="s">
        <v>419</v>
      </c>
      <c r="K1053" s="86" t="s">
        <v>448</v>
      </c>
      <c r="L1053" s="293">
        <f t="shared" si="224"/>
        <v>599836</v>
      </c>
      <c r="M1053" s="294"/>
      <c r="N1053" s="294">
        <v>599836</v>
      </c>
      <c r="O1053" s="286"/>
      <c r="P1053" s="286"/>
      <c r="Q1053" s="286"/>
      <c r="R1053" s="78"/>
      <c r="S1053" s="70"/>
      <c r="T1053" s="70"/>
      <c r="U1053" s="70">
        <v>599836</v>
      </c>
      <c r="V1053" s="24"/>
      <c r="W1053" s="14"/>
      <c r="X1053" s="30"/>
      <c r="Y1053" s="30"/>
      <c r="Z1053" s="30"/>
      <c r="AA1053" s="30"/>
      <c r="AB1053" s="22"/>
      <c r="AC1053" s="22"/>
      <c r="AD1053" s="22"/>
      <c r="AE1053" s="22"/>
      <c r="AF1053" s="22"/>
      <c r="AG1053" s="22"/>
      <c r="AH1053" s="22"/>
      <c r="AI1053" s="12"/>
      <c r="AJ1053" s="78">
        <v>100</v>
      </c>
      <c r="AK1053" s="78">
        <v>2021</v>
      </c>
      <c r="AL1053" s="85">
        <v>599836</v>
      </c>
      <c r="AM1053" s="84"/>
    </row>
    <row r="1054" spans="1:39" ht="49.5">
      <c r="A1054" s="34" t="s">
        <v>909</v>
      </c>
      <c r="E1054" s="37" t="s">
        <v>904</v>
      </c>
      <c r="F1054" s="37"/>
      <c r="G1054" s="80" t="s">
        <v>418</v>
      </c>
      <c r="H1054" s="93">
        <v>7321</v>
      </c>
      <c r="I1054" s="93" t="s">
        <v>108</v>
      </c>
      <c r="J1054" s="81" t="s">
        <v>419</v>
      </c>
      <c r="K1054" s="86" t="s">
        <v>678</v>
      </c>
      <c r="L1054" s="293">
        <f t="shared" si="224"/>
        <v>594000</v>
      </c>
      <c r="M1054" s="294"/>
      <c r="N1054" s="294">
        <v>594000</v>
      </c>
      <c r="O1054" s="286"/>
      <c r="P1054" s="286"/>
      <c r="Q1054" s="286"/>
      <c r="R1054" s="78"/>
      <c r="S1054" s="70"/>
      <c r="T1054" s="70"/>
      <c r="U1054" s="70">
        <v>594000</v>
      </c>
      <c r="V1054" s="24"/>
      <c r="W1054" s="14"/>
      <c r="X1054" s="30"/>
      <c r="Y1054" s="30"/>
      <c r="Z1054" s="30"/>
      <c r="AA1054" s="30"/>
      <c r="AB1054" s="22"/>
      <c r="AC1054" s="22"/>
      <c r="AD1054" s="22"/>
      <c r="AE1054" s="22"/>
      <c r="AF1054" s="22"/>
      <c r="AG1054" s="22"/>
      <c r="AH1054" s="22"/>
      <c r="AI1054" s="12"/>
      <c r="AJ1054" s="78">
        <v>100</v>
      </c>
      <c r="AK1054" s="78">
        <v>2021</v>
      </c>
      <c r="AL1054" s="85">
        <v>594000</v>
      </c>
      <c r="AM1054" s="84"/>
    </row>
    <row r="1055" spans="1:39" ht="33">
      <c r="A1055" s="34" t="s">
        <v>909</v>
      </c>
      <c r="E1055" s="37" t="s">
        <v>903</v>
      </c>
      <c r="F1055" s="37"/>
      <c r="G1055" s="80" t="s">
        <v>418</v>
      </c>
      <c r="H1055" s="93">
        <v>7321</v>
      </c>
      <c r="I1055" s="93" t="s">
        <v>108</v>
      </c>
      <c r="J1055" s="81" t="s">
        <v>419</v>
      </c>
      <c r="K1055" s="86" t="s">
        <v>1168</v>
      </c>
      <c r="L1055" s="293">
        <f t="shared" si="224"/>
        <v>599998</v>
      </c>
      <c r="M1055" s="294"/>
      <c r="N1055" s="294">
        <v>599998</v>
      </c>
      <c r="O1055" s="286"/>
      <c r="P1055" s="286"/>
      <c r="Q1055" s="286"/>
      <c r="R1055" s="78"/>
      <c r="S1055" s="70"/>
      <c r="T1055" s="70"/>
      <c r="U1055" s="70">
        <v>599998</v>
      </c>
      <c r="V1055" s="24"/>
      <c r="W1055" s="14"/>
      <c r="X1055" s="30"/>
      <c r="Y1055" s="30"/>
      <c r="Z1055" s="30"/>
      <c r="AA1055" s="30"/>
      <c r="AB1055" s="22"/>
      <c r="AC1055" s="22"/>
      <c r="AD1055" s="22"/>
      <c r="AE1055" s="22"/>
      <c r="AF1055" s="22"/>
      <c r="AG1055" s="22"/>
      <c r="AH1055" s="22"/>
      <c r="AI1055" s="12"/>
      <c r="AJ1055" s="78">
        <v>100</v>
      </c>
      <c r="AK1055" s="78">
        <v>2021</v>
      </c>
      <c r="AL1055" s="85">
        <v>599998</v>
      </c>
      <c r="AM1055" s="84"/>
    </row>
    <row r="1056" spans="1:39" s="233" customFormat="1">
      <c r="A1056" s="193" t="s">
        <v>910</v>
      </c>
      <c r="B1056" s="234" t="s">
        <v>193</v>
      </c>
      <c r="C1056" s="234"/>
      <c r="D1056" s="234"/>
      <c r="E1056" s="225" t="s">
        <v>1225</v>
      </c>
      <c r="F1056" s="225"/>
      <c r="G1056" s="183" t="s">
        <v>47</v>
      </c>
      <c r="H1056" s="183"/>
      <c r="I1056" s="183"/>
      <c r="J1056" s="184" t="s">
        <v>48</v>
      </c>
      <c r="K1056" s="201"/>
      <c r="L1056" s="287">
        <f t="shared" ref="L1056" si="225">SUM(L1058:L1065)</f>
        <v>10603648</v>
      </c>
      <c r="M1056" s="288">
        <f>SUM(M1058:M1065)</f>
        <v>0</v>
      </c>
      <c r="N1056" s="289">
        <f>SUM(N1058:N1065)</f>
        <v>10603648</v>
      </c>
      <c r="O1056" s="289">
        <f t="shared" ref="O1056:P1056" si="226">SUM(O1058:O1065)</f>
        <v>0</v>
      </c>
      <c r="P1056" s="289">
        <f t="shared" si="226"/>
        <v>0</v>
      </c>
      <c r="Q1056" s="289">
        <f t="shared" ref="Q1056" si="227">SUM(Q1058:Q1065)</f>
        <v>0</v>
      </c>
      <c r="R1056" s="187">
        <f t="shared" ref="R1056:R1057" si="228">L1056-M1056-N1056-O1056-P1056-Q1056</f>
        <v>0</v>
      </c>
      <c r="S1056" s="187"/>
      <c r="T1056" s="187"/>
      <c r="U1056" s="187">
        <f>SUM(U1058:U1065)</f>
        <v>10603648</v>
      </c>
      <c r="V1056" s="187">
        <v>7749649</v>
      </c>
      <c r="W1056" s="187">
        <f>599999+2254000</f>
        <v>2853999</v>
      </c>
      <c r="X1056" s="239"/>
      <c r="Y1056" s="239"/>
      <c r="Z1056" s="239"/>
      <c r="AA1056" s="239"/>
      <c r="AB1056" s="191"/>
      <c r="AC1056" s="191"/>
      <c r="AD1056" s="191"/>
      <c r="AE1056" s="191"/>
      <c r="AF1056" s="191"/>
      <c r="AG1056" s="191"/>
      <c r="AH1056" s="191"/>
      <c r="AI1056" s="231"/>
      <c r="AJ1056" s="187"/>
      <c r="AK1056" s="185"/>
      <c r="AL1056" s="196"/>
      <c r="AM1056" s="197"/>
    </row>
    <row r="1057" spans="1:40" s="233" customFormat="1">
      <c r="A1057" s="193" t="s">
        <v>910</v>
      </c>
      <c r="B1057" s="234"/>
      <c r="C1057" s="234"/>
      <c r="D1057" s="234"/>
      <c r="E1057" s="225" t="s">
        <v>1225</v>
      </c>
      <c r="F1057" s="225"/>
      <c r="G1057" s="183" t="s">
        <v>49</v>
      </c>
      <c r="H1057" s="183"/>
      <c r="I1057" s="183"/>
      <c r="J1057" s="190" t="s">
        <v>48</v>
      </c>
      <c r="K1057" s="201"/>
      <c r="L1057" s="290"/>
      <c r="M1057" s="291"/>
      <c r="N1057" s="297"/>
      <c r="O1057" s="297"/>
      <c r="P1057" s="297"/>
      <c r="Q1057" s="297"/>
      <c r="R1057" s="187">
        <f t="shared" si="228"/>
        <v>0</v>
      </c>
      <c r="S1057" s="199"/>
      <c r="T1057" s="199"/>
      <c r="U1057" s="199"/>
      <c r="V1057" s="187"/>
      <c r="W1057" s="195"/>
      <c r="X1057" s="239"/>
      <c r="Y1057" s="239"/>
      <c r="Z1057" s="239"/>
      <c r="AA1057" s="239"/>
      <c r="AB1057" s="191"/>
      <c r="AC1057" s="191"/>
      <c r="AD1057" s="191"/>
      <c r="AE1057" s="191"/>
      <c r="AF1057" s="191"/>
      <c r="AG1057" s="191"/>
      <c r="AH1057" s="191"/>
      <c r="AI1057" s="231"/>
      <c r="AJ1057" s="199"/>
      <c r="AK1057" s="185"/>
      <c r="AL1057" s="196"/>
      <c r="AM1057" s="197"/>
    </row>
    <row r="1058" spans="1:40" ht="49.5">
      <c r="A1058" s="34" t="s">
        <v>910</v>
      </c>
      <c r="E1058" s="37" t="s">
        <v>905</v>
      </c>
      <c r="F1058" s="37"/>
      <c r="G1058" s="102" t="s">
        <v>194</v>
      </c>
      <c r="H1058" s="103">
        <v>2010</v>
      </c>
      <c r="I1058" s="93" t="s">
        <v>195</v>
      </c>
      <c r="J1058" s="104" t="s">
        <v>196</v>
      </c>
      <c r="K1058" s="86" t="s">
        <v>679</v>
      </c>
      <c r="L1058" s="293">
        <f t="shared" ref="L1058:L1065" si="229">SUM(M1058:Q1058)</f>
        <v>590150</v>
      </c>
      <c r="M1058" s="294"/>
      <c r="N1058" s="302">
        <v>590150</v>
      </c>
      <c r="O1058" s="286"/>
      <c r="P1058" s="286"/>
      <c r="Q1058" s="286"/>
      <c r="R1058" s="78"/>
      <c r="S1058" s="68"/>
      <c r="T1058" s="68"/>
      <c r="U1058" s="68">
        <v>590150</v>
      </c>
      <c r="V1058" s="5"/>
      <c r="W1058" s="14"/>
      <c r="X1058" s="30"/>
      <c r="Y1058" s="30"/>
      <c r="Z1058" s="30"/>
      <c r="AA1058" s="30"/>
      <c r="AB1058" s="11"/>
      <c r="AC1058" s="11"/>
      <c r="AD1058" s="11"/>
      <c r="AE1058" s="11"/>
      <c r="AF1058" s="11"/>
      <c r="AG1058" s="11"/>
      <c r="AH1058" s="11"/>
      <c r="AI1058" s="57"/>
      <c r="AJ1058" s="78">
        <v>100</v>
      </c>
      <c r="AK1058" s="78">
        <v>2021</v>
      </c>
      <c r="AL1058" s="85">
        <v>590150</v>
      </c>
      <c r="AM1058" s="84"/>
      <c r="AN1058" s="47"/>
    </row>
    <row r="1059" spans="1:40" ht="49.5">
      <c r="A1059" s="34" t="s">
        <v>910</v>
      </c>
      <c r="E1059" s="37" t="s">
        <v>905</v>
      </c>
      <c r="F1059" s="37"/>
      <c r="G1059" s="102" t="s">
        <v>194</v>
      </c>
      <c r="H1059" s="103">
        <v>2010</v>
      </c>
      <c r="I1059" s="93" t="s">
        <v>195</v>
      </c>
      <c r="J1059" s="104" t="s">
        <v>196</v>
      </c>
      <c r="K1059" s="86" t="s">
        <v>680</v>
      </c>
      <c r="L1059" s="293">
        <f t="shared" si="229"/>
        <v>2699500</v>
      </c>
      <c r="M1059" s="294"/>
      <c r="N1059" s="302">
        <v>2699500</v>
      </c>
      <c r="O1059" s="286"/>
      <c r="P1059" s="286"/>
      <c r="Q1059" s="286"/>
      <c r="R1059" s="78"/>
      <c r="S1059" s="68"/>
      <c r="T1059" s="68"/>
      <c r="U1059" s="68">
        <v>2699500</v>
      </c>
      <c r="V1059" s="14"/>
      <c r="W1059" s="14"/>
      <c r="X1059" s="30"/>
      <c r="Y1059" s="30"/>
      <c r="Z1059" s="30"/>
      <c r="AA1059" s="30"/>
      <c r="AB1059" s="11"/>
      <c r="AC1059" s="11"/>
      <c r="AD1059" s="11"/>
      <c r="AE1059" s="11"/>
      <c r="AF1059" s="11"/>
      <c r="AG1059" s="11"/>
      <c r="AH1059" s="11"/>
      <c r="AI1059" s="57"/>
      <c r="AJ1059" s="78">
        <v>100</v>
      </c>
      <c r="AK1059" s="78">
        <v>2021</v>
      </c>
      <c r="AL1059" s="85">
        <v>2699500</v>
      </c>
      <c r="AM1059" s="84"/>
      <c r="AN1059" s="47"/>
    </row>
    <row r="1060" spans="1:40" ht="66">
      <c r="A1060" s="34" t="s">
        <v>910</v>
      </c>
      <c r="E1060" s="37" t="s">
        <v>905</v>
      </c>
      <c r="F1060" s="37"/>
      <c r="G1060" s="102" t="s">
        <v>194</v>
      </c>
      <c r="H1060" s="103">
        <v>2010</v>
      </c>
      <c r="I1060" s="93" t="s">
        <v>195</v>
      </c>
      <c r="J1060" s="104" t="s">
        <v>196</v>
      </c>
      <c r="K1060" s="81" t="s">
        <v>684</v>
      </c>
      <c r="L1060" s="293">
        <f t="shared" si="229"/>
        <v>599900</v>
      </c>
      <c r="M1060" s="294"/>
      <c r="N1060" s="302">
        <v>599900</v>
      </c>
      <c r="O1060" s="286"/>
      <c r="P1060" s="286"/>
      <c r="Q1060" s="286"/>
      <c r="R1060" s="78"/>
      <c r="S1060" s="68"/>
      <c r="T1060" s="68"/>
      <c r="U1060" s="68">
        <v>599900</v>
      </c>
      <c r="V1060" s="14"/>
      <c r="W1060" s="14"/>
      <c r="X1060" s="30"/>
      <c r="Y1060" s="30"/>
      <c r="Z1060" s="30"/>
      <c r="AA1060" s="30"/>
      <c r="AB1060" s="11"/>
      <c r="AC1060" s="11"/>
      <c r="AD1060" s="11"/>
      <c r="AE1060" s="11"/>
      <c r="AF1060" s="11"/>
      <c r="AG1060" s="11"/>
      <c r="AH1060" s="11"/>
      <c r="AI1060" s="57"/>
      <c r="AJ1060" s="78">
        <v>100</v>
      </c>
      <c r="AK1060" s="78">
        <v>2021</v>
      </c>
      <c r="AL1060" s="85">
        <v>599900</v>
      </c>
      <c r="AM1060" s="84"/>
      <c r="AN1060" s="47"/>
    </row>
    <row r="1061" spans="1:40" ht="49.5">
      <c r="A1061" s="34" t="s">
        <v>910</v>
      </c>
      <c r="E1061" s="37" t="s">
        <v>905</v>
      </c>
      <c r="F1061" s="37"/>
      <c r="G1061" s="102" t="s">
        <v>194</v>
      </c>
      <c r="H1061" s="103">
        <v>2010</v>
      </c>
      <c r="I1061" s="93" t="s">
        <v>195</v>
      </c>
      <c r="J1061" s="104" t="s">
        <v>196</v>
      </c>
      <c r="K1061" s="86" t="s">
        <v>672</v>
      </c>
      <c r="L1061" s="293">
        <f t="shared" si="229"/>
        <v>599999</v>
      </c>
      <c r="M1061" s="294"/>
      <c r="N1061" s="302">
        <v>599999</v>
      </c>
      <c r="O1061" s="286"/>
      <c r="P1061" s="286"/>
      <c r="Q1061" s="286"/>
      <c r="R1061" s="78"/>
      <c r="S1061" s="68"/>
      <c r="T1061" s="68"/>
      <c r="U1061" s="68">
        <v>599999</v>
      </c>
      <c r="V1061" s="30"/>
      <c r="W1061" s="14"/>
      <c r="X1061" s="30"/>
      <c r="Y1061" s="30"/>
      <c r="Z1061" s="30"/>
      <c r="AA1061" s="30"/>
      <c r="AB1061" s="11"/>
      <c r="AC1061" s="11"/>
      <c r="AD1061" s="11"/>
      <c r="AE1061" s="11"/>
      <c r="AF1061" s="11"/>
      <c r="AG1061" s="11"/>
      <c r="AH1061" s="11"/>
      <c r="AI1061" s="57"/>
      <c r="AJ1061" s="78">
        <v>100</v>
      </c>
      <c r="AK1061" s="78">
        <v>2021</v>
      </c>
      <c r="AL1061" s="85">
        <v>599999</v>
      </c>
      <c r="AM1061" s="84"/>
      <c r="AN1061" s="47"/>
    </row>
    <row r="1062" spans="1:40" ht="33">
      <c r="A1062" s="34" t="s">
        <v>910</v>
      </c>
      <c r="E1062" s="37" t="s">
        <v>901</v>
      </c>
      <c r="F1062" s="37"/>
      <c r="G1062" s="102" t="s">
        <v>194</v>
      </c>
      <c r="H1062" s="103">
        <v>2010</v>
      </c>
      <c r="I1062" s="93" t="s">
        <v>195</v>
      </c>
      <c r="J1062" s="104" t="s">
        <v>196</v>
      </c>
      <c r="K1062" s="86" t="s">
        <v>673</v>
      </c>
      <c r="L1062" s="293">
        <f t="shared" si="229"/>
        <v>599999</v>
      </c>
      <c r="M1062" s="294"/>
      <c r="N1062" s="302">
        <v>599999</v>
      </c>
      <c r="O1062" s="286"/>
      <c r="P1062" s="286"/>
      <c r="Q1062" s="286"/>
      <c r="R1062" s="78"/>
      <c r="S1062" s="68"/>
      <c r="T1062" s="68"/>
      <c r="U1062" s="68">
        <v>599999</v>
      </c>
      <c r="V1062" s="14"/>
      <c r="W1062" s="14"/>
      <c r="X1062" s="30"/>
      <c r="Y1062" s="30"/>
      <c r="Z1062" s="30"/>
      <c r="AA1062" s="30"/>
      <c r="AB1062" s="11"/>
      <c r="AC1062" s="11"/>
      <c r="AD1062" s="11"/>
      <c r="AE1062" s="11"/>
      <c r="AF1062" s="11"/>
      <c r="AG1062" s="11"/>
      <c r="AH1062" s="11"/>
      <c r="AI1062" s="57"/>
      <c r="AJ1062" s="78">
        <v>100</v>
      </c>
      <c r="AK1062" s="78">
        <v>2021</v>
      </c>
      <c r="AL1062" s="85">
        <v>599999</v>
      </c>
      <c r="AM1062" s="84"/>
      <c r="AN1062" s="47"/>
    </row>
    <row r="1063" spans="1:40" ht="66">
      <c r="A1063" s="34" t="s">
        <v>910</v>
      </c>
      <c r="E1063" s="37" t="s">
        <v>905</v>
      </c>
      <c r="F1063" s="37"/>
      <c r="G1063" s="102" t="s">
        <v>197</v>
      </c>
      <c r="H1063" s="103" t="s">
        <v>198</v>
      </c>
      <c r="I1063" s="93" t="s">
        <v>108</v>
      </c>
      <c r="J1063" s="104" t="s">
        <v>199</v>
      </c>
      <c r="K1063" s="86" t="s">
        <v>1140</v>
      </c>
      <c r="L1063" s="293">
        <f t="shared" si="229"/>
        <v>2960100</v>
      </c>
      <c r="M1063" s="294"/>
      <c r="N1063" s="302">
        <v>2960100</v>
      </c>
      <c r="O1063" s="286"/>
      <c r="P1063" s="286"/>
      <c r="Q1063" s="286"/>
      <c r="R1063" s="78"/>
      <c r="S1063" s="68"/>
      <c r="T1063" s="68"/>
      <c r="U1063" s="68">
        <v>2960100</v>
      </c>
      <c r="V1063" s="14"/>
      <c r="W1063" s="14"/>
      <c r="X1063" s="30"/>
      <c r="Y1063" s="30"/>
      <c r="Z1063" s="30"/>
      <c r="AA1063" s="30"/>
      <c r="AB1063" s="11"/>
      <c r="AC1063" s="11"/>
      <c r="AD1063" s="11"/>
      <c r="AE1063" s="11"/>
      <c r="AF1063" s="11"/>
      <c r="AG1063" s="11"/>
      <c r="AH1063" s="11"/>
      <c r="AI1063" s="57"/>
      <c r="AJ1063" s="78">
        <v>100</v>
      </c>
      <c r="AK1063" s="78">
        <v>2021</v>
      </c>
      <c r="AL1063" s="85">
        <v>2960100</v>
      </c>
      <c r="AM1063" s="84"/>
      <c r="AN1063" s="47"/>
    </row>
    <row r="1064" spans="1:40" ht="49.5">
      <c r="A1064" s="34" t="s">
        <v>910</v>
      </c>
      <c r="E1064" s="37" t="s">
        <v>905</v>
      </c>
      <c r="F1064" s="37"/>
      <c r="G1064" s="102" t="s">
        <v>197</v>
      </c>
      <c r="H1064" s="102" t="s">
        <v>198</v>
      </c>
      <c r="I1064" s="93" t="s">
        <v>108</v>
      </c>
      <c r="J1064" s="38" t="s">
        <v>199</v>
      </c>
      <c r="K1064" s="105" t="s">
        <v>342</v>
      </c>
      <c r="L1064" s="293">
        <f t="shared" si="229"/>
        <v>2254000</v>
      </c>
      <c r="M1064" s="294"/>
      <c r="N1064" s="302">
        <v>2254000</v>
      </c>
      <c r="O1064" s="286"/>
      <c r="P1064" s="286"/>
      <c r="Q1064" s="286"/>
      <c r="R1064" s="78"/>
      <c r="S1064" s="68"/>
      <c r="T1064" s="68"/>
      <c r="U1064" s="68">
        <v>2254000</v>
      </c>
      <c r="V1064" s="5"/>
      <c r="W1064" s="14"/>
      <c r="X1064" s="30"/>
      <c r="Y1064" s="30"/>
      <c r="Z1064" s="30"/>
      <c r="AA1064" s="30"/>
      <c r="AB1064" s="11"/>
      <c r="AC1064" s="11"/>
      <c r="AD1064" s="11"/>
      <c r="AE1064" s="11"/>
      <c r="AF1064" s="11"/>
      <c r="AG1064" s="11"/>
      <c r="AH1064" s="11"/>
      <c r="AI1064" s="57"/>
      <c r="AJ1064" s="78">
        <v>100</v>
      </c>
      <c r="AK1064" s="106">
        <v>2021</v>
      </c>
      <c r="AL1064" s="85">
        <v>2254000</v>
      </c>
      <c r="AM1064" s="107"/>
      <c r="AN1064" s="47"/>
    </row>
    <row r="1065" spans="1:40" ht="33">
      <c r="A1065" s="34" t="s">
        <v>910</v>
      </c>
      <c r="E1065" s="37" t="s">
        <v>905</v>
      </c>
      <c r="F1065" s="37"/>
      <c r="G1065" s="102" t="s">
        <v>197</v>
      </c>
      <c r="H1065" s="102" t="s">
        <v>198</v>
      </c>
      <c r="I1065" s="93" t="s">
        <v>108</v>
      </c>
      <c r="J1065" s="38" t="s">
        <v>199</v>
      </c>
      <c r="K1065" s="86" t="s">
        <v>681</v>
      </c>
      <c r="L1065" s="293">
        <f t="shared" si="229"/>
        <v>300000</v>
      </c>
      <c r="M1065" s="294"/>
      <c r="N1065" s="302">
        <v>300000</v>
      </c>
      <c r="O1065" s="286"/>
      <c r="P1065" s="286"/>
      <c r="Q1065" s="286"/>
      <c r="R1065" s="78"/>
      <c r="S1065" s="68"/>
      <c r="T1065" s="68"/>
      <c r="U1065" s="68">
        <v>300000</v>
      </c>
      <c r="V1065" s="14"/>
      <c r="W1065" s="14"/>
      <c r="X1065" s="30"/>
      <c r="Y1065" s="30"/>
      <c r="Z1065" s="30"/>
      <c r="AA1065" s="30"/>
      <c r="AB1065" s="11"/>
      <c r="AC1065" s="11"/>
      <c r="AD1065" s="11"/>
      <c r="AE1065" s="11"/>
      <c r="AF1065" s="11"/>
      <c r="AG1065" s="11"/>
      <c r="AH1065" s="11"/>
      <c r="AI1065" s="57"/>
      <c r="AJ1065" s="78">
        <v>100</v>
      </c>
      <c r="AK1065" s="78">
        <v>2021</v>
      </c>
      <c r="AL1065" s="85">
        <v>300000</v>
      </c>
      <c r="AM1065" s="84"/>
      <c r="AN1065" s="47"/>
    </row>
    <row r="1066" spans="1:40" s="233" customFormat="1">
      <c r="A1066" s="193" t="s">
        <v>911</v>
      </c>
      <c r="B1066" s="234" t="s">
        <v>193</v>
      </c>
      <c r="C1066" s="234"/>
      <c r="D1066" s="234"/>
      <c r="E1066" s="225" t="s">
        <v>1225</v>
      </c>
      <c r="F1066" s="225"/>
      <c r="G1066" s="183" t="s">
        <v>52</v>
      </c>
      <c r="H1066" s="207"/>
      <c r="I1066" s="207"/>
      <c r="J1066" s="184" t="s">
        <v>53</v>
      </c>
      <c r="K1066" s="201"/>
      <c r="L1066" s="287">
        <f>SUM(L1068:L1068)</f>
        <v>3000000</v>
      </c>
      <c r="M1066" s="288">
        <f>SUM(M1068:M1068)</f>
        <v>0</v>
      </c>
      <c r="N1066" s="289">
        <f>SUM(N1068:N1068)</f>
        <v>3000000</v>
      </c>
      <c r="O1066" s="289">
        <f t="shared" ref="O1066" si="230">SUM(O1068:O1068)</f>
        <v>0</v>
      </c>
      <c r="P1066" s="289">
        <f t="shared" ref="P1066:Q1066" si="231">SUM(P1068:P1068)</f>
        <v>0</v>
      </c>
      <c r="Q1066" s="289">
        <f t="shared" si="231"/>
        <v>0</v>
      </c>
      <c r="R1066" s="187">
        <f t="shared" ref="R1066:R1067" si="232">L1066-M1066-N1066-O1066-P1066-Q1066</f>
        <v>0</v>
      </c>
      <c r="S1066" s="187"/>
      <c r="T1066" s="187"/>
      <c r="U1066" s="187">
        <f>SUM(U1068:U1068)</f>
        <v>3000000</v>
      </c>
      <c r="V1066" s="187">
        <v>3000000</v>
      </c>
      <c r="W1066" s="195"/>
      <c r="X1066" s="239"/>
      <c r="Y1066" s="239"/>
      <c r="Z1066" s="239"/>
      <c r="AA1066" s="239"/>
      <c r="AB1066" s="191"/>
      <c r="AC1066" s="191"/>
      <c r="AD1066" s="191"/>
      <c r="AE1066" s="191"/>
      <c r="AF1066" s="191"/>
      <c r="AG1066" s="191"/>
      <c r="AH1066" s="191"/>
      <c r="AI1066" s="231"/>
      <c r="AJ1066" s="187"/>
      <c r="AK1066" s="185"/>
      <c r="AL1066" s="196"/>
      <c r="AM1066" s="197"/>
    </row>
    <row r="1067" spans="1:40" s="233" customFormat="1">
      <c r="A1067" s="193" t="s">
        <v>911</v>
      </c>
      <c r="B1067" s="234"/>
      <c r="C1067" s="234"/>
      <c r="D1067" s="234"/>
      <c r="E1067" s="225" t="s">
        <v>1225</v>
      </c>
      <c r="F1067" s="225"/>
      <c r="G1067" s="183" t="s">
        <v>54</v>
      </c>
      <c r="H1067" s="183"/>
      <c r="I1067" s="183"/>
      <c r="J1067" s="190" t="s">
        <v>53</v>
      </c>
      <c r="K1067" s="201"/>
      <c r="L1067" s="290"/>
      <c r="M1067" s="291"/>
      <c r="N1067" s="297"/>
      <c r="O1067" s="297"/>
      <c r="P1067" s="297"/>
      <c r="Q1067" s="297"/>
      <c r="R1067" s="187">
        <f t="shared" si="232"/>
        <v>0</v>
      </c>
      <c r="S1067" s="199"/>
      <c r="T1067" s="199"/>
      <c r="U1067" s="199"/>
      <c r="V1067" s="195"/>
      <c r="W1067" s="195"/>
      <c r="X1067" s="239"/>
      <c r="Y1067" s="239"/>
      <c r="Z1067" s="239"/>
      <c r="AA1067" s="239"/>
      <c r="AB1067" s="191"/>
      <c r="AC1067" s="191"/>
      <c r="AD1067" s="191"/>
      <c r="AE1067" s="191"/>
      <c r="AF1067" s="191"/>
      <c r="AG1067" s="191"/>
      <c r="AH1067" s="191"/>
      <c r="AI1067" s="231"/>
      <c r="AJ1067" s="199"/>
      <c r="AK1067" s="185"/>
      <c r="AL1067" s="196"/>
      <c r="AM1067" s="197"/>
    </row>
    <row r="1068" spans="1:40" ht="82.5">
      <c r="A1068" s="34" t="s">
        <v>911</v>
      </c>
      <c r="E1068" s="37" t="s">
        <v>903</v>
      </c>
      <c r="F1068" s="37"/>
      <c r="G1068" s="87" t="s">
        <v>200</v>
      </c>
      <c r="H1068" s="87" t="s">
        <v>201</v>
      </c>
      <c r="I1068" s="87" t="s">
        <v>108</v>
      </c>
      <c r="J1068" s="81" t="s">
        <v>202</v>
      </c>
      <c r="K1068" s="86" t="s">
        <v>1000</v>
      </c>
      <c r="L1068" s="298">
        <f>SUM(M1068:Q1068)</f>
        <v>3000000</v>
      </c>
      <c r="M1068" s="299"/>
      <c r="N1068" s="301">
        <v>3000000</v>
      </c>
      <c r="O1068" s="311"/>
      <c r="P1068" s="311"/>
      <c r="Q1068" s="311"/>
      <c r="R1068" s="91"/>
      <c r="S1068" s="67"/>
      <c r="T1068" s="67"/>
      <c r="U1068" s="67">
        <v>3000000</v>
      </c>
      <c r="V1068" s="24"/>
      <c r="W1068" s="24"/>
      <c r="X1068" s="30"/>
      <c r="Y1068" s="30"/>
      <c r="Z1068" s="30"/>
      <c r="AA1068" s="30"/>
      <c r="AB1068" s="22"/>
      <c r="AC1068" s="22"/>
      <c r="AD1068" s="22"/>
      <c r="AE1068" s="22"/>
      <c r="AF1068" s="22"/>
      <c r="AG1068" s="22"/>
      <c r="AH1068" s="22"/>
      <c r="AI1068" s="12"/>
      <c r="AJ1068" s="91">
        <f>N1068/AL1068*100</f>
        <v>17.142857142857142</v>
      </c>
      <c r="AK1068" s="78">
        <v>2021</v>
      </c>
      <c r="AL1068" s="85">
        <v>17500000</v>
      </c>
      <c r="AM1068" s="84"/>
    </row>
    <row r="1069" spans="1:40" s="233" customFormat="1">
      <c r="A1069" s="193" t="s">
        <v>912</v>
      </c>
      <c r="B1069" s="234" t="s">
        <v>193</v>
      </c>
      <c r="C1069" s="234"/>
      <c r="D1069" s="234"/>
      <c r="E1069" s="225" t="s">
        <v>1225</v>
      </c>
      <c r="F1069" s="225"/>
      <c r="G1069" s="183" t="s">
        <v>58</v>
      </c>
      <c r="H1069" s="183"/>
      <c r="I1069" s="183"/>
      <c r="J1069" s="184" t="s">
        <v>59</v>
      </c>
      <c r="K1069" s="201"/>
      <c r="L1069" s="287">
        <f t="shared" ref="L1069" si="233">SUM(L1071:L1076)</f>
        <v>6652655</v>
      </c>
      <c r="M1069" s="288">
        <f>SUM(M1071:M1076)</f>
        <v>0</v>
      </c>
      <c r="N1069" s="289">
        <f>SUM(N1071:N1076)</f>
        <v>6652655</v>
      </c>
      <c r="O1069" s="289">
        <f t="shared" ref="O1069:P1069" si="234">SUM(O1071:O1076)</f>
        <v>0</v>
      </c>
      <c r="P1069" s="289">
        <f t="shared" si="234"/>
        <v>0</v>
      </c>
      <c r="Q1069" s="289">
        <f t="shared" ref="Q1069" si="235">SUM(Q1071:Q1076)</f>
        <v>0</v>
      </c>
      <c r="R1069" s="187">
        <f t="shared" ref="R1069:R1070" si="236">L1069-M1069-N1069-O1069-P1069-Q1069</f>
        <v>0</v>
      </c>
      <c r="S1069" s="187"/>
      <c r="T1069" s="187"/>
      <c r="U1069" s="187">
        <f>SUM(U1071:U1076)</f>
        <v>6652655</v>
      </c>
      <c r="V1069" s="187">
        <v>1772671</v>
      </c>
      <c r="W1069" s="187">
        <f>2924984+1955000</f>
        <v>4879984</v>
      </c>
      <c r="X1069" s="239"/>
      <c r="Y1069" s="239"/>
      <c r="Z1069" s="239"/>
      <c r="AA1069" s="239"/>
      <c r="AB1069" s="191"/>
      <c r="AC1069" s="191"/>
      <c r="AD1069" s="191"/>
      <c r="AE1069" s="191"/>
      <c r="AF1069" s="191"/>
      <c r="AG1069" s="191"/>
      <c r="AH1069" s="191"/>
      <c r="AI1069" s="231"/>
      <c r="AJ1069" s="187"/>
      <c r="AK1069" s="185"/>
      <c r="AL1069" s="196"/>
      <c r="AM1069" s="197"/>
    </row>
    <row r="1070" spans="1:40" s="233" customFormat="1">
      <c r="A1070" s="193" t="s">
        <v>912</v>
      </c>
      <c r="B1070" s="234"/>
      <c r="C1070" s="234"/>
      <c r="D1070" s="234"/>
      <c r="E1070" s="225" t="s">
        <v>1225</v>
      </c>
      <c r="F1070" s="225"/>
      <c r="G1070" s="183" t="s">
        <v>60</v>
      </c>
      <c r="H1070" s="183"/>
      <c r="I1070" s="183"/>
      <c r="J1070" s="190" t="s">
        <v>59</v>
      </c>
      <c r="K1070" s="201"/>
      <c r="L1070" s="290"/>
      <c r="M1070" s="291"/>
      <c r="N1070" s="297"/>
      <c r="O1070" s="297"/>
      <c r="P1070" s="297"/>
      <c r="Q1070" s="297"/>
      <c r="R1070" s="187">
        <f t="shared" si="236"/>
        <v>0</v>
      </c>
      <c r="S1070" s="199"/>
      <c r="T1070" s="199"/>
      <c r="U1070" s="199"/>
      <c r="V1070" s="195"/>
      <c r="W1070" s="195"/>
      <c r="X1070" s="239"/>
      <c r="Y1070" s="239"/>
      <c r="Z1070" s="239"/>
      <c r="AA1070" s="239"/>
      <c r="AB1070" s="191"/>
      <c r="AC1070" s="191"/>
      <c r="AD1070" s="191"/>
      <c r="AE1070" s="191"/>
      <c r="AF1070" s="191"/>
      <c r="AG1070" s="191"/>
      <c r="AH1070" s="191"/>
      <c r="AI1070" s="231"/>
      <c r="AJ1070" s="199"/>
      <c r="AK1070" s="185"/>
      <c r="AL1070" s="196"/>
      <c r="AM1070" s="197"/>
    </row>
    <row r="1071" spans="1:40" ht="33">
      <c r="A1071" s="34" t="s">
        <v>912</v>
      </c>
      <c r="E1071" s="37" t="s">
        <v>906</v>
      </c>
      <c r="F1071" s="37"/>
      <c r="G1071" s="87" t="s">
        <v>203</v>
      </c>
      <c r="H1071" s="87" t="s">
        <v>204</v>
      </c>
      <c r="I1071" s="87" t="s">
        <v>205</v>
      </c>
      <c r="J1071" s="81" t="s">
        <v>206</v>
      </c>
      <c r="K1071" s="81" t="s">
        <v>207</v>
      </c>
      <c r="L1071" s="293">
        <f t="shared" ref="L1071:L1076" si="237">SUM(M1071:Q1071)</f>
        <v>2924984</v>
      </c>
      <c r="M1071" s="294"/>
      <c r="N1071" s="302">
        <v>2924984</v>
      </c>
      <c r="O1071" s="286"/>
      <c r="P1071" s="286"/>
      <c r="Q1071" s="286"/>
      <c r="R1071" s="78"/>
      <c r="S1071" s="68"/>
      <c r="T1071" s="68"/>
      <c r="U1071" s="68">
        <v>2924984</v>
      </c>
      <c r="V1071" s="14"/>
      <c r="W1071" s="14"/>
      <c r="X1071" s="30"/>
      <c r="Y1071" s="30"/>
      <c r="Z1071" s="30"/>
      <c r="AA1071" s="30"/>
      <c r="AB1071" s="22"/>
      <c r="AC1071" s="22"/>
      <c r="AD1071" s="22"/>
      <c r="AE1071" s="22"/>
      <c r="AF1071" s="22"/>
      <c r="AG1071" s="22"/>
      <c r="AH1071" s="22"/>
      <c r="AI1071" s="12"/>
      <c r="AJ1071" s="78">
        <v>100</v>
      </c>
      <c r="AK1071" s="78">
        <v>2021</v>
      </c>
      <c r="AL1071" s="85">
        <v>2924984</v>
      </c>
      <c r="AM1071" s="84"/>
    </row>
    <row r="1072" spans="1:40" ht="33">
      <c r="A1072" s="34" t="s">
        <v>912</v>
      </c>
      <c r="E1072" s="37" t="s">
        <v>901</v>
      </c>
      <c r="F1072" s="37"/>
      <c r="G1072" s="87" t="s">
        <v>203</v>
      </c>
      <c r="H1072" s="87" t="s">
        <v>204</v>
      </c>
      <c r="I1072" s="87" t="s">
        <v>205</v>
      </c>
      <c r="J1072" s="81" t="s">
        <v>206</v>
      </c>
      <c r="K1072" s="86" t="s">
        <v>209</v>
      </c>
      <c r="L1072" s="293">
        <f t="shared" si="237"/>
        <v>590000</v>
      </c>
      <c r="M1072" s="294"/>
      <c r="N1072" s="302">
        <v>590000</v>
      </c>
      <c r="O1072" s="286"/>
      <c r="P1072" s="286"/>
      <c r="Q1072" s="286"/>
      <c r="R1072" s="78"/>
      <c r="S1072" s="68"/>
      <c r="T1072" s="68"/>
      <c r="U1072" s="68">
        <v>590000</v>
      </c>
      <c r="V1072" s="14"/>
      <c r="W1072" s="14"/>
      <c r="X1072" s="30"/>
      <c r="Y1072" s="30"/>
      <c r="Z1072" s="30"/>
      <c r="AA1072" s="30"/>
      <c r="AB1072" s="22"/>
      <c r="AC1072" s="22"/>
      <c r="AD1072" s="22"/>
      <c r="AE1072" s="22"/>
      <c r="AF1072" s="22"/>
      <c r="AG1072" s="22"/>
      <c r="AH1072" s="22"/>
      <c r="AI1072" s="12"/>
      <c r="AJ1072" s="78">
        <v>100</v>
      </c>
      <c r="AK1072" s="78">
        <v>2021</v>
      </c>
      <c r="AL1072" s="85">
        <v>590000</v>
      </c>
      <c r="AM1072" s="84"/>
    </row>
    <row r="1073" spans="1:39" ht="33">
      <c r="A1073" s="34" t="s">
        <v>912</v>
      </c>
      <c r="E1073" s="37" t="s">
        <v>906</v>
      </c>
      <c r="F1073" s="37"/>
      <c r="G1073" s="87" t="s">
        <v>203</v>
      </c>
      <c r="H1073" s="87" t="s">
        <v>204</v>
      </c>
      <c r="I1073" s="87" t="s">
        <v>205</v>
      </c>
      <c r="J1073" s="81" t="s">
        <v>206</v>
      </c>
      <c r="K1073" s="86" t="s">
        <v>210</v>
      </c>
      <c r="L1073" s="293">
        <f t="shared" si="237"/>
        <v>583671</v>
      </c>
      <c r="M1073" s="294"/>
      <c r="N1073" s="302">
        <v>583671</v>
      </c>
      <c r="O1073" s="286"/>
      <c r="P1073" s="286"/>
      <c r="Q1073" s="286"/>
      <c r="R1073" s="78"/>
      <c r="S1073" s="68"/>
      <c r="T1073" s="68"/>
      <c r="U1073" s="68">
        <v>583671</v>
      </c>
      <c r="V1073" s="14"/>
      <c r="W1073" s="14"/>
      <c r="X1073" s="30"/>
      <c r="Y1073" s="30"/>
      <c r="Z1073" s="30"/>
      <c r="AA1073" s="30"/>
      <c r="AB1073" s="22"/>
      <c r="AC1073" s="22"/>
      <c r="AD1073" s="22"/>
      <c r="AE1073" s="22"/>
      <c r="AF1073" s="22"/>
      <c r="AG1073" s="22"/>
      <c r="AH1073" s="22"/>
      <c r="AI1073" s="12"/>
      <c r="AJ1073" s="78">
        <v>100</v>
      </c>
      <c r="AK1073" s="78">
        <v>2021</v>
      </c>
      <c r="AL1073" s="85">
        <v>583671</v>
      </c>
      <c r="AM1073" s="84"/>
    </row>
    <row r="1074" spans="1:39" ht="33">
      <c r="A1074" s="34" t="s">
        <v>912</v>
      </c>
      <c r="E1074" s="37" t="s">
        <v>905</v>
      </c>
      <c r="F1074" s="37"/>
      <c r="G1074" s="87" t="s">
        <v>211</v>
      </c>
      <c r="H1074" s="87" t="s">
        <v>212</v>
      </c>
      <c r="I1074" s="87" t="s">
        <v>213</v>
      </c>
      <c r="J1074" s="81" t="s">
        <v>214</v>
      </c>
      <c r="K1074" s="86" t="s">
        <v>215</v>
      </c>
      <c r="L1074" s="298">
        <f t="shared" si="237"/>
        <v>300000</v>
      </c>
      <c r="M1074" s="299"/>
      <c r="N1074" s="301">
        <v>300000</v>
      </c>
      <c r="O1074" s="286"/>
      <c r="P1074" s="286"/>
      <c r="Q1074" s="286"/>
      <c r="R1074" s="78"/>
      <c r="S1074" s="67"/>
      <c r="T1074" s="67"/>
      <c r="U1074" s="67">
        <v>300000</v>
      </c>
      <c r="V1074" s="14"/>
      <c r="W1074" s="14"/>
      <c r="X1074" s="30"/>
      <c r="Y1074" s="30"/>
      <c r="Z1074" s="30"/>
      <c r="AA1074" s="30"/>
      <c r="AB1074" s="22"/>
      <c r="AC1074" s="22"/>
      <c r="AD1074" s="22"/>
      <c r="AE1074" s="22"/>
      <c r="AF1074" s="22"/>
      <c r="AG1074" s="22"/>
      <c r="AH1074" s="22"/>
      <c r="AI1074" s="12"/>
      <c r="AJ1074" s="78">
        <v>100</v>
      </c>
      <c r="AK1074" s="78">
        <v>2021</v>
      </c>
      <c r="AL1074" s="85">
        <v>300000</v>
      </c>
      <c r="AM1074" s="84"/>
    </row>
    <row r="1075" spans="1:39" ht="33">
      <c r="A1075" s="34" t="s">
        <v>912</v>
      </c>
      <c r="E1075" s="37" t="s">
        <v>905</v>
      </c>
      <c r="F1075" s="37"/>
      <c r="G1075" s="87" t="s">
        <v>216</v>
      </c>
      <c r="H1075" s="87" t="s">
        <v>217</v>
      </c>
      <c r="I1075" s="87" t="s">
        <v>108</v>
      </c>
      <c r="J1075" s="81" t="s">
        <v>218</v>
      </c>
      <c r="K1075" s="86" t="s">
        <v>219</v>
      </c>
      <c r="L1075" s="298">
        <f t="shared" si="237"/>
        <v>299000</v>
      </c>
      <c r="M1075" s="299"/>
      <c r="N1075" s="301">
        <v>299000</v>
      </c>
      <c r="O1075" s="286"/>
      <c r="P1075" s="286"/>
      <c r="Q1075" s="286"/>
      <c r="R1075" s="78"/>
      <c r="S1075" s="67"/>
      <c r="T1075" s="67"/>
      <c r="U1075" s="67">
        <v>299000</v>
      </c>
      <c r="V1075" s="14"/>
      <c r="W1075" s="14"/>
      <c r="X1075" s="30"/>
      <c r="Y1075" s="30"/>
      <c r="Z1075" s="30"/>
      <c r="AA1075" s="30"/>
      <c r="AB1075" s="22"/>
      <c r="AC1075" s="22"/>
      <c r="AD1075" s="22"/>
      <c r="AE1075" s="22"/>
      <c r="AF1075" s="22"/>
      <c r="AG1075" s="22"/>
      <c r="AH1075" s="22"/>
      <c r="AI1075" s="12"/>
      <c r="AJ1075" s="78">
        <v>100</v>
      </c>
      <c r="AK1075" s="78">
        <v>2021</v>
      </c>
      <c r="AL1075" s="85">
        <v>299000</v>
      </c>
      <c r="AM1075" s="84"/>
    </row>
    <row r="1076" spans="1:39" ht="33">
      <c r="A1076" s="34" t="s">
        <v>912</v>
      </c>
      <c r="E1076" s="120" t="s">
        <v>1469</v>
      </c>
      <c r="F1076" s="37"/>
      <c r="G1076" s="87" t="s">
        <v>208</v>
      </c>
      <c r="H1076" s="87">
        <v>7670</v>
      </c>
      <c r="I1076" s="87" t="s">
        <v>31</v>
      </c>
      <c r="J1076" s="81" t="s">
        <v>32</v>
      </c>
      <c r="K1076" s="81" t="s">
        <v>288</v>
      </c>
      <c r="L1076" s="293">
        <f t="shared" si="237"/>
        <v>1955000</v>
      </c>
      <c r="M1076" s="294"/>
      <c r="N1076" s="302">
        <v>1955000</v>
      </c>
      <c r="O1076" s="286"/>
      <c r="P1076" s="286"/>
      <c r="Q1076" s="286"/>
      <c r="R1076" s="78"/>
      <c r="S1076" s="68"/>
      <c r="T1076" s="68"/>
      <c r="U1076" s="68">
        <v>1955000</v>
      </c>
      <c r="V1076" s="14"/>
      <c r="W1076" s="14"/>
      <c r="X1076" s="30"/>
      <c r="Y1076" s="30"/>
      <c r="Z1076" s="30"/>
      <c r="AA1076" s="30"/>
      <c r="AB1076" s="22"/>
      <c r="AC1076" s="22"/>
      <c r="AD1076" s="22"/>
      <c r="AE1076" s="22"/>
      <c r="AF1076" s="22"/>
      <c r="AG1076" s="22"/>
      <c r="AH1076" s="22"/>
      <c r="AI1076" s="12"/>
      <c r="AJ1076" s="78">
        <v>100</v>
      </c>
      <c r="AK1076" s="78">
        <v>2021</v>
      </c>
      <c r="AL1076" s="85">
        <v>1955000</v>
      </c>
      <c r="AM1076" s="84"/>
    </row>
    <row r="1077" spans="1:39" s="233" customFormat="1">
      <c r="A1077" s="193" t="s">
        <v>913</v>
      </c>
      <c r="B1077" s="234" t="s">
        <v>193</v>
      </c>
      <c r="C1077" s="234"/>
      <c r="D1077" s="234"/>
      <c r="E1077" s="225" t="s">
        <v>1225</v>
      </c>
      <c r="F1077" s="225"/>
      <c r="G1077" s="183" t="s">
        <v>61</v>
      </c>
      <c r="H1077" s="183"/>
      <c r="I1077" s="183"/>
      <c r="J1077" s="184" t="s">
        <v>62</v>
      </c>
      <c r="K1077" s="201"/>
      <c r="L1077" s="287">
        <f t="shared" ref="L1077" si="238">SUM(L1079:L1080)</f>
        <v>1181361</v>
      </c>
      <c r="M1077" s="288">
        <f>SUM(M1079:M1080)</f>
        <v>0</v>
      </c>
      <c r="N1077" s="289">
        <f>SUM(N1079:N1080)</f>
        <v>1181361</v>
      </c>
      <c r="O1077" s="289">
        <f t="shared" ref="O1077:P1077" si="239">SUM(O1079:O1080)</f>
        <v>0</v>
      </c>
      <c r="P1077" s="289">
        <f t="shared" si="239"/>
        <v>0</v>
      </c>
      <c r="Q1077" s="289">
        <f t="shared" ref="Q1077" si="240">SUM(Q1079:Q1080)</f>
        <v>0</v>
      </c>
      <c r="R1077" s="187">
        <f t="shared" ref="R1077:R1078" si="241">L1077-M1077-N1077-O1077-P1077-Q1077</f>
        <v>0</v>
      </c>
      <c r="S1077" s="187"/>
      <c r="T1077" s="187"/>
      <c r="U1077" s="187">
        <f>SUM(U1079:U1080)</f>
        <v>1181361</v>
      </c>
      <c r="V1077" s="187">
        <v>1181361</v>
      </c>
      <c r="W1077" s="195"/>
      <c r="X1077" s="239"/>
      <c r="Y1077" s="239"/>
      <c r="Z1077" s="239"/>
      <c r="AA1077" s="239"/>
      <c r="AB1077" s="191"/>
      <c r="AC1077" s="191"/>
      <c r="AD1077" s="191"/>
      <c r="AE1077" s="191"/>
      <c r="AF1077" s="191"/>
      <c r="AG1077" s="191"/>
      <c r="AH1077" s="191"/>
      <c r="AI1077" s="231"/>
      <c r="AJ1077" s="187"/>
      <c r="AK1077" s="185"/>
      <c r="AL1077" s="196"/>
      <c r="AM1077" s="197"/>
    </row>
    <row r="1078" spans="1:39" s="233" customFormat="1">
      <c r="A1078" s="193" t="s">
        <v>913</v>
      </c>
      <c r="B1078" s="234"/>
      <c r="C1078" s="234"/>
      <c r="D1078" s="234"/>
      <c r="E1078" s="225" t="s">
        <v>1225</v>
      </c>
      <c r="F1078" s="225"/>
      <c r="G1078" s="183" t="s">
        <v>63</v>
      </c>
      <c r="H1078" s="183"/>
      <c r="I1078" s="183"/>
      <c r="J1078" s="190" t="s">
        <v>62</v>
      </c>
      <c r="K1078" s="201"/>
      <c r="L1078" s="290"/>
      <c r="M1078" s="291"/>
      <c r="N1078" s="297"/>
      <c r="O1078" s="297"/>
      <c r="P1078" s="297"/>
      <c r="Q1078" s="297"/>
      <c r="R1078" s="187">
        <f t="shared" si="241"/>
        <v>0</v>
      </c>
      <c r="S1078" s="199"/>
      <c r="T1078" s="199"/>
      <c r="U1078" s="199"/>
      <c r="V1078" s="195"/>
      <c r="W1078" s="195"/>
      <c r="X1078" s="239"/>
      <c r="Y1078" s="239"/>
      <c r="Z1078" s="239"/>
      <c r="AA1078" s="239"/>
      <c r="AB1078" s="191"/>
      <c r="AC1078" s="191"/>
      <c r="AD1078" s="191"/>
      <c r="AE1078" s="191"/>
      <c r="AF1078" s="191"/>
      <c r="AG1078" s="191"/>
      <c r="AH1078" s="191"/>
      <c r="AI1078" s="231"/>
      <c r="AJ1078" s="199"/>
      <c r="AK1078" s="185"/>
      <c r="AL1078" s="196"/>
      <c r="AM1078" s="197"/>
    </row>
    <row r="1079" spans="1:39" ht="33">
      <c r="A1079" s="34" t="s">
        <v>913</v>
      </c>
      <c r="E1079" s="37" t="s">
        <v>903</v>
      </c>
      <c r="F1079" s="37"/>
      <c r="G1079" s="87" t="s">
        <v>220</v>
      </c>
      <c r="H1079" s="87" t="s">
        <v>221</v>
      </c>
      <c r="I1079" s="87" t="s">
        <v>108</v>
      </c>
      <c r="J1079" s="81" t="s">
        <v>222</v>
      </c>
      <c r="K1079" s="86" t="s">
        <v>223</v>
      </c>
      <c r="L1079" s="298">
        <f>SUM(M1079:Q1079)</f>
        <v>585476</v>
      </c>
      <c r="M1079" s="299"/>
      <c r="N1079" s="301">
        <v>585476</v>
      </c>
      <c r="O1079" s="286"/>
      <c r="P1079" s="286"/>
      <c r="Q1079" s="286"/>
      <c r="R1079" s="78"/>
      <c r="S1079" s="67"/>
      <c r="T1079" s="67"/>
      <c r="U1079" s="67">
        <v>585476</v>
      </c>
      <c r="V1079" s="14"/>
      <c r="W1079" s="14"/>
      <c r="X1079" s="30"/>
      <c r="Y1079" s="30"/>
      <c r="Z1079" s="30"/>
      <c r="AA1079" s="30"/>
      <c r="AB1079" s="22"/>
      <c r="AC1079" s="22"/>
      <c r="AD1079" s="22"/>
      <c r="AE1079" s="22"/>
      <c r="AF1079" s="22"/>
      <c r="AG1079" s="22"/>
      <c r="AH1079" s="22"/>
      <c r="AI1079" s="12"/>
      <c r="AJ1079" s="78">
        <v>100</v>
      </c>
      <c r="AK1079" s="78">
        <v>2021</v>
      </c>
      <c r="AL1079" s="85">
        <v>585476</v>
      </c>
      <c r="AM1079" s="84"/>
    </row>
    <row r="1080" spans="1:39" ht="33">
      <c r="A1080" s="34" t="s">
        <v>913</v>
      </c>
      <c r="E1080" s="37" t="s">
        <v>904</v>
      </c>
      <c r="F1080" s="37"/>
      <c r="G1080" s="87" t="s">
        <v>220</v>
      </c>
      <c r="H1080" s="87" t="s">
        <v>221</v>
      </c>
      <c r="I1080" s="87" t="s">
        <v>108</v>
      </c>
      <c r="J1080" s="81" t="s">
        <v>222</v>
      </c>
      <c r="K1080" s="86" t="s">
        <v>1123</v>
      </c>
      <c r="L1080" s="298">
        <f>SUM(M1080:Q1080)</f>
        <v>595885</v>
      </c>
      <c r="M1080" s="299"/>
      <c r="N1080" s="301">
        <v>595885</v>
      </c>
      <c r="O1080" s="296"/>
      <c r="P1080" s="296"/>
      <c r="Q1080" s="296"/>
      <c r="R1080" s="84"/>
      <c r="S1080" s="67"/>
      <c r="T1080" s="67"/>
      <c r="U1080" s="67">
        <v>595885</v>
      </c>
      <c r="V1080" s="14"/>
      <c r="W1080" s="14"/>
      <c r="X1080" s="30"/>
      <c r="Y1080" s="30"/>
      <c r="Z1080" s="30"/>
      <c r="AA1080" s="30"/>
      <c r="AB1080" s="22"/>
      <c r="AC1080" s="22"/>
      <c r="AD1080" s="22"/>
      <c r="AE1080" s="22"/>
      <c r="AF1080" s="22"/>
      <c r="AG1080" s="22"/>
      <c r="AH1080" s="22"/>
      <c r="AI1080" s="12"/>
      <c r="AJ1080" s="84">
        <v>100</v>
      </c>
      <c r="AK1080" s="78">
        <v>2021</v>
      </c>
      <c r="AL1080" s="85">
        <v>595885</v>
      </c>
      <c r="AM1080" s="84"/>
    </row>
    <row r="1081" spans="1:39" s="233" customFormat="1" ht="33">
      <c r="A1081" s="193" t="s">
        <v>914</v>
      </c>
      <c r="B1081" s="234" t="s">
        <v>193</v>
      </c>
      <c r="C1081" s="234"/>
      <c r="D1081" s="234"/>
      <c r="E1081" s="225" t="s">
        <v>1225</v>
      </c>
      <c r="F1081" s="225"/>
      <c r="G1081" s="183" t="s">
        <v>65</v>
      </c>
      <c r="H1081" s="183"/>
      <c r="I1081" s="183"/>
      <c r="J1081" s="184" t="s">
        <v>66</v>
      </c>
      <c r="K1081" s="201"/>
      <c r="L1081" s="287">
        <f t="shared" ref="L1081" si="242">SUM(L1083:L1083)</f>
        <v>563322</v>
      </c>
      <c r="M1081" s="288">
        <f>SUM(M1083:M1083)</f>
        <v>0</v>
      </c>
      <c r="N1081" s="289">
        <f>SUM(N1083:N1083)</f>
        <v>563322</v>
      </c>
      <c r="O1081" s="289">
        <f t="shared" ref="O1081:P1081" si="243">SUM(O1083:O1083)</f>
        <v>0</v>
      </c>
      <c r="P1081" s="289">
        <f t="shared" si="243"/>
        <v>0</v>
      </c>
      <c r="Q1081" s="289">
        <f t="shared" ref="Q1081" si="244">SUM(Q1083:Q1083)</f>
        <v>0</v>
      </c>
      <c r="R1081" s="187">
        <f t="shared" ref="R1081:R1082" si="245">L1081-M1081-N1081-O1081-P1081-Q1081</f>
        <v>0</v>
      </c>
      <c r="S1081" s="187"/>
      <c r="T1081" s="187"/>
      <c r="U1081" s="187">
        <f>SUM(U1083:U1083)</f>
        <v>563322</v>
      </c>
      <c r="V1081" s="187">
        <v>563322</v>
      </c>
      <c r="W1081" s="195"/>
      <c r="X1081" s="239"/>
      <c r="Y1081" s="239"/>
      <c r="Z1081" s="239"/>
      <c r="AA1081" s="239"/>
      <c r="AB1081" s="191"/>
      <c r="AC1081" s="191"/>
      <c r="AD1081" s="191"/>
      <c r="AE1081" s="191"/>
      <c r="AF1081" s="191"/>
      <c r="AG1081" s="191"/>
      <c r="AH1081" s="191"/>
      <c r="AI1081" s="231"/>
      <c r="AJ1081" s="187"/>
      <c r="AK1081" s="185"/>
      <c r="AL1081" s="196"/>
      <c r="AM1081" s="197"/>
    </row>
    <row r="1082" spans="1:39" s="233" customFormat="1" ht="33">
      <c r="A1082" s="193" t="s">
        <v>914</v>
      </c>
      <c r="B1082" s="234"/>
      <c r="C1082" s="234"/>
      <c r="D1082" s="234"/>
      <c r="E1082" s="225" t="s">
        <v>1225</v>
      </c>
      <c r="F1082" s="225"/>
      <c r="G1082" s="183" t="s">
        <v>67</v>
      </c>
      <c r="H1082" s="183"/>
      <c r="I1082" s="183"/>
      <c r="J1082" s="190" t="s">
        <v>66</v>
      </c>
      <c r="K1082" s="201"/>
      <c r="L1082" s="290"/>
      <c r="M1082" s="291"/>
      <c r="N1082" s="297"/>
      <c r="O1082" s="297"/>
      <c r="P1082" s="297"/>
      <c r="Q1082" s="297"/>
      <c r="R1082" s="187">
        <f t="shared" si="245"/>
        <v>0</v>
      </c>
      <c r="S1082" s="199"/>
      <c r="T1082" s="199"/>
      <c r="U1082" s="199"/>
      <c r="V1082" s="195"/>
      <c r="W1082" s="195"/>
      <c r="X1082" s="239"/>
      <c r="Y1082" s="239"/>
      <c r="Z1082" s="239"/>
      <c r="AA1082" s="239"/>
      <c r="AB1082" s="191"/>
      <c r="AC1082" s="191"/>
      <c r="AD1082" s="191"/>
      <c r="AE1082" s="191"/>
      <c r="AF1082" s="191"/>
      <c r="AG1082" s="191"/>
      <c r="AH1082" s="191"/>
      <c r="AI1082" s="231"/>
      <c r="AJ1082" s="199"/>
      <c r="AK1082" s="185"/>
      <c r="AL1082" s="196"/>
      <c r="AM1082" s="197"/>
    </row>
    <row r="1083" spans="1:39" ht="33">
      <c r="A1083" s="34" t="s">
        <v>914</v>
      </c>
      <c r="E1083" s="37" t="s">
        <v>906</v>
      </c>
      <c r="F1083" s="37"/>
      <c r="G1083" s="93">
        <v>1217310</v>
      </c>
      <c r="H1083" s="93" t="s">
        <v>188</v>
      </c>
      <c r="I1083" s="93" t="s">
        <v>108</v>
      </c>
      <c r="J1083" s="89" t="s">
        <v>186</v>
      </c>
      <c r="K1083" s="86" t="s">
        <v>925</v>
      </c>
      <c r="L1083" s="298">
        <f>SUM(M1083:Q1083)</f>
        <v>563322</v>
      </c>
      <c r="M1083" s="299"/>
      <c r="N1083" s="301">
        <v>563322</v>
      </c>
      <c r="O1083" s="286"/>
      <c r="P1083" s="286"/>
      <c r="Q1083" s="286"/>
      <c r="R1083" s="78"/>
      <c r="S1083" s="67"/>
      <c r="T1083" s="67"/>
      <c r="U1083" s="67">
        <v>563322</v>
      </c>
      <c r="V1083" s="14"/>
      <c r="W1083" s="14"/>
      <c r="X1083" s="30"/>
      <c r="Y1083" s="30"/>
      <c r="Z1083" s="30"/>
      <c r="AA1083" s="30"/>
      <c r="AB1083" s="22"/>
      <c r="AC1083" s="22"/>
      <c r="AD1083" s="22"/>
      <c r="AE1083" s="22"/>
      <c r="AF1083" s="22"/>
      <c r="AG1083" s="22"/>
      <c r="AH1083" s="22"/>
      <c r="AI1083" s="12"/>
      <c r="AJ1083" s="78">
        <v>100</v>
      </c>
      <c r="AK1083" s="78">
        <v>2021</v>
      </c>
      <c r="AL1083" s="85">
        <v>563322</v>
      </c>
      <c r="AM1083" s="84"/>
    </row>
    <row r="1084" spans="1:39" s="233" customFormat="1">
      <c r="A1084" s="193" t="s">
        <v>915</v>
      </c>
      <c r="B1084" s="234" t="s">
        <v>193</v>
      </c>
      <c r="C1084" s="234"/>
      <c r="D1084" s="234"/>
      <c r="E1084" s="225" t="s">
        <v>1225</v>
      </c>
      <c r="F1084" s="225"/>
      <c r="G1084" s="219" t="s">
        <v>96</v>
      </c>
      <c r="H1084" s="219"/>
      <c r="I1084" s="219"/>
      <c r="J1084" s="184" t="s">
        <v>97</v>
      </c>
      <c r="K1084" s="201"/>
      <c r="L1084" s="287">
        <f t="shared" ref="L1084" si="246">SUM(L1086:L1087)</f>
        <v>668852</v>
      </c>
      <c r="M1084" s="288">
        <f>SUM(M1086:M1087)</f>
        <v>0</v>
      </c>
      <c r="N1084" s="289">
        <f>SUM(N1086:N1087)</f>
        <v>668852</v>
      </c>
      <c r="O1084" s="289">
        <f t="shared" ref="O1084:P1084" si="247">SUM(O1086:O1087)</f>
        <v>0</v>
      </c>
      <c r="P1084" s="289">
        <f t="shared" si="247"/>
        <v>0</v>
      </c>
      <c r="Q1084" s="289">
        <f t="shared" ref="Q1084" si="248">SUM(Q1086:Q1087)</f>
        <v>0</v>
      </c>
      <c r="R1084" s="187">
        <f t="shared" ref="R1084:R1085" si="249">L1084-M1084-N1084-O1084-P1084-Q1084</f>
        <v>0</v>
      </c>
      <c r="S1084" s="187"/>
      <c r="T1084" s="187"/>
      <c r="U1084" s="187">
        <f>SUM(U1086:U1087)</f>
        <v>668852</v>
      </c>
      <c r="V1084" s="187">
        <v>668852</v>
      </c>
      <c r="W1084" s="195"/>
      <c r="X1084" s="239"/>
      <c r="Y1084" s="239"/>
      <c r="Z1084" s="239"/>
      <c r="AA1084" s="239"/>
      <c r="AB1084" s="191"/>
      <c r="AC1084" s="191"/>
      <c r="AD1084" s="191"/>
      <c r="AE1084" s="191"/>
      <c r="AF1084" s="191"/>
      <c r="AG1084" s="191"/>
      <c r="AH1084" s="191"/>
      <c r="AI1084" s="231"/>
      <c r="AJ1084" s="187"/>
      <c r="AK1084" s="185"/>
      <c r="AL1084" s="196"/>
      <c r="AM1084" s="197"/>
    </row>
    <row r="1085" spans="1:39" s="233" customFormat="1">
      <c r="A1085" s="193" t="s">
        <v>915</v>
      </c>
      <c r="B1085" s="234"/>
      <c r="C1085" s="234"/>
      <c r="D1085" s="234"/>
      <c r="E1085" s="225" t="s">
        <v>1225</v>
      </c>
      <c r="F1085" s="225"/>
      <c r="G1085" s="219" t="s">
        <v>98</v>
      </c>
      <c r="H1085" s="219"/>
      <c r="I1085" s="219"/>
      <c r="J1085" s="190" t="s">
        <v>97</v>
      </c>
      <c r="K1085" s="201"/>
      <c r="L1085" s="290"/>
      <c r="M1085" s="291"/>
      <c r="N1085" s="297"/>
      <c r="O1085" s="297"/>
      <c r="P1085" s="297"/>
      <c r="Q1085" s="297"/>
      <c r="R1085" s="187">
        <f t="shared" si="249"/>
        <v>0</v>
      </c>
      <c r="S1085" s="199"/>
      <c r="T1085" s="199"/>
      <c r="U1085" s="199"/>
      <c r="V1085" s="195"/>
      <c r="W1085" s="195"/>
      <c r="X1085" s="239"/>
      <c r="Y1085" s="239"/>
      <c r="Z1085" s="239"/>
      <c r="AA1085" s="239"/>
      <c r="AB1085" s="191"/>
      <c r="AC1085" s="191"/>
      <c r="AD1085" s="191"/>
      <c r="AE1085" s="191"/>
      <c r="AF1085" s="191"/>
      <c r="AG1085" s="191"/>
      <c r="AH1085" s="191"/>
      <c r="AI1085" s="231"/>
      <c r="AJ1085" s="199"/>
      <c r="AK1085" s="185"/>
      <c r="AL1085" s="196"/>
      <c r="AM1085" s="197"/>
    </row>
    <row r="1086" spans="1:39" ht="33">
      <c r="A1086" s="34" t="s">
        <v>915</v>
      </c>
      <c r="E1086" s="37" t="s">
        <v>906</v>
      </c>
      <c r="F1086" s="37"/>
      <c r="G1086" s="80" t="s">
        <v>300</v>
      </c>
      <c r="H1086" s="80" t="s">
        <v>132</v>
      </c>
      <c r="I1086" s="80" t="s">
        <v>133</v>
      </c>
      <c r="J1086" s="81" t="s">
        <v>134</v>
      </c>
      <c r="K1086" s="86" t="s">
        <v>301</v>
      </c>
      <c r="L1086" s="336">
        <f>SUM(M1086:Q1086)</f>
        <v>586248</v>
      </c>
      <c r="M1086" s="337"/>
      <c r="N1086" s="338">
        <v>586248</v>
      </c>
      <c r="O1086" s="339"/>
      <c r="P1086" s="339"/>
      <c r="Q1086" s="339"/>
      <c r="R1086" s="90"/>
      <c r="S1086" s="6"/>
      <c r="T1086" s="6"/>
      <c r="U1086" s="6">
        <v>586248</v>
      </c>
      <c r="V1086" s="25"/>
      <c r="W1086" s="24"/>
      <c r="X1086" s="30"/>
      <c r="Y1086" s="30"/>
      <c r="Z1086" s="30"/>
      <c r="AA1086" s="30"/>
      <c r="AB1086" s="22"/>
      <c r="AC1086" s="22"/>
      <c r="AD1086" s="22"/>
      <c r="AE1086" s="22"/>
      <c r="AF1086" s="22"/>
      <c r="AG1086" s="22"/>
      <c r="AH1086" s="22"/>
      <c r="AI1086" s="12"/>
      <c r="AJ1086" s="90">
        <v>100</v>
      </c>
      <c r="AK1086" s="90">
        <v>2021</v>
      </c>
      <c r="AL1086" s="97">
        <v>586248</v>
      </c>
      <c r="AM1086" s="108"/>
    </row>
    <row r="1087" spans="1:39" ht="33">
      <c r="A1087" s="34" t="s">
        <v>915</v>
      </c>
      <c r="E1087" s="37" t="s">
        <v>903</v>
      </c>
      <c r="F1087" s="37"/>
      <c r="G1087" s="80" t="s">
        <v>300</v>
      </c>
      <c r="H1087" s="80" t="s">
        <v>132</v>
      </c>
      <c r="I1087" s="80" t="s">
        <v>133</v>
      </c>
      <c r="J1087" s="81" t="s">
        <v>134</v>
      </c>
      <c r="K1087" s="86" t="s">
        <v>343</v>
      </c>
      <c r="L1087" s="336">
        <f>SUM(M1087:Q1087)</f>
        <v>82604</v>
      </c>
      <c r="M1087" s="337"/>
      <c r="N1087" s="338">
        <v>82604</v>
      </c>
      <c r="O1087" s="339"/>
      <c r="P1087" s="339"/>
      <c r="Q1087" s="339"/>
      <c r="R1087" s="90"/>
      <c r="S1087" s="6"/>
      <c r="T1087" s="6"/>
      <c r="U1087" s="6">
        <v>82604</v>
      </c>
      <c r="V1087" s="25"/>
      <c r="W1087" s="24"/>
      <c r="X1087" s="30"/>
      <c r="Y1087" s="30"/>
      <c r="Z1087" s="30"/>
      <c r="AA1087" s="30"/>
      <c r="AB1087" s="22"/>
      <c r="AC1087" s="22"/>
      <c r="AD1087" s="22"/>
      <c r="AE1087" s="22"/>
      <c r="AF1087" s="22"/>
      <c r="AG1087" s="22"/>
      <c r="AH1087" s="22"/>
      <c r="AI1087" s="12"/>
      <c r="AJ1087" s="90">
        <v>100</v>
      </c>
      <c r="AK1087" s="90">
        <v>2021</v>
      </c>
      <c r="AL1087" s="97">
        <v>82604</v>
      </c>
      <c r="AM1087" s="108"/>
    </row>
    <row r="1088" spans="1:39" s="233" customFormat="1">
      <c r="A1088" s="193" t="s">
        <v>916</v>
      </c>
      <c r="B1088" s="234" t="s">
        <v>193</v>
      </c>
      <c r="C1088" s="234"/>
      <c r="D1088" s="234"/>
      <c r="E1088" s="225" t="s">
        <v>1225</v>
      </c>
      <c r="F1088" s="225"/>
      <c r="G1088" s="183" t="s">
        <v>122</v>
      </c>
      <c r="H1088" s="183"/>
      <c r="I1088" s="183"/>
      <c r="J1088" s="184" t="s">
        <v>123</v>
      </c>
      <c r="K1088" s="226"/>
      <c r="L1088" s="287">
        <f t="shared" ref="L1088" si="250">SUM(L1090:L1095)</f>
        <v>10418387</v>
      </c>
      <c r="M1088" s="288">
        <f>SUM(M1090:M1095)</f>
        <v>0</v>
      </c>
      <c r="N1088" s="289">
        <f>SUM(N1090:N1095)</f>
        <v>10418387</v>
      </c>
      <c r="O1088" s="289">
        <f t="shared" ref="O1088:P1088" si="251">SUM(O1090:O1095)</f>
        <v>0</v>
      </c>
      <c r="P1088" s="289">
        <f t="shared" si="251"/>
        <v>0</v>
      </c>
      <c r="Q1088" s="289">
        <f t="shared" ref="Q1088" si="252">SUM(Q1090:Q1095)</f>
        <v>0</v>
      </c>
      <c r="R1088" s="187">
        <f t="shared" ref="R1088:R1089" si="253">L1088-M1088-N1088-O1088-P1088-Q1088</f>
        <v>0</v>
      </c>
      <c r="S1088" s="187"/>
      <c r="T1088" s="187"/>
      <c r="U1088" s="187">
        <f>SUM(U1090:U1095)</f>
        <v>10418387</v>
      </c>
      <c r="V1088" s="187">
        <v>7418957</v>
      </c>
      <c r="W1088" s="239">
        <v>2999430</v>
      </c>
      <c r="X1088" s="239"/>
      <c r="Y1088" s="239"/>
      <c r="Z1088" s="239"/>
      <c r="AA1088" s="239"/>
      <c r="AB1088" s="191"/>
      <c r="AC1088" s="191"/>
      <c r="AD1088" s="191"/>
      <c r="AE1088" s="191"/>
      <c r="AF1088" s="191"/>
      <c r="AG1088" s="191"/>
      <c r="AH1088" s="191"/>
      <c r="AI1088" s="231"/>
      <c r="AJ1088" s="187"/>
      <c r="AK1088" s="185"/>
      <c r="AL1088" s="197"/>
      <c r="AM1088" s="197"/>
    </row>
    <row r="1089" spans="1:39" s="233" customFormat="1">
      <c r="A1089" s="193" t="s">
        <v>916</v>
      </c>
      <c r="B1089" s="234"/>
      <c r="C1089" s="234"/>
      <c r="D1089" s="234"/>
      <c r="E1089" s="225" t="s">
        <v>1225</v>
      </c>
      <c r="F1089" s="225"/>
      <c r="G1089" s="183" t="s">
        <v>124</v>
      </c>
      <c r="H1089" s="207"/>
      <c r="I1089" s="207"/>
      <c r="J1089" s="190" t="s">
        <v>123</v>
      </c>
      <c r="K1089" s="226"/>
      <c r="L1089" s="290"/>
      <c r="M1089" s="291"/>
      <c r="N1089" s="297"/>
      <c r="O1089" s="297"/>
      <c r="P1089" s="297"/>
      <c r="Q1089" s="297"/>
      <c r="R1089" s="187">
        <f t="shared" si="253"/>
        <v>0</v>
      </c>
      <c r="S1089" s="199"/>
      <c r="T1089" s="199"/>
      <c r="U1089" s="199"/>
      <c r="V1089" s="227"/>
      <c r="W1089" s="227"/>
      <c r="X1089" s="239"/>
      <c r="Y1089" s="239"/>
      <c r="Z1089" s="239"/>
      <c r="AA1089" s="239"/>
      <c r="AB1089" s="191"/>
      <c r="AC1089" s="191"/>
      <c r="AD1089" s="191"/>
      <c r="AE1089" s="191"/>
      <c r="AF1089" s="191"/>
      <c r="AG1089" s="191"/>
      <c r="AH1089" s="191"/>
      <c r="AI1089" s="231"/>
      <c r="AJ1089" s="199"/>
      <c r="AK1089" s="185"/>
      <c r="AL1089" s="197"/>
      <c r="AM1089" s="197"/>
    </row>
    <row r="1090" spans="1:39" ht="49.5">
      <c r="A1090" s="34" t="s">
        <v>916</v>
      </c>
      <c r="E1090" s="37" t="s">
        <v>905</v>
      </c>
      <c r="F1090" s="37"/>
      <c r="G1090" s="80" t="s">
        <v>675</v>
      </c>
      <c r="H1090" s="80" t="s">
        <v>224</v>
      </c>
      <c r="I1090" s="80" t="s">
        <v>225</v>
      </c>
      <c r="J1090" s="81" t="s">
        <v>226</v>
      </c>
      <c r="K1090" s="86" t="s">
        <v>865</v>
      </c>
      <c r="L1090" s="293">
        <f t="shared" ref="L1090:L1095" si="254">SUM(M1090:Q1090)</f>
        <v>279158</v>
      </c>
      <c r="M1090" s="294"/>
      <c r="N1090" s="294">
        <v>279158</v>
      </c>
      <c r="O1090" s="339"/>
      <c r="P1090" s="339"/>
      <c r="Q1090" s="339"/>
      <c r="R1090" s="90"/>
      <c r="S1090" s="70"/>
      <c r="T1090" s="70"/>
      <c r="U1090" s="70">
        <v>279158</v>
      </c>
      <c r="V1090" s="29"/>
      <c r="W1090" s="29"/>
      <c r="X1090" s="30"/>
      <c r="Y1090" s="30"/>
      <c r="Z1090" s="30"/>
      <c r="AA1090" s="30"/>
      <c r="AB1090" s="22"/>
      <c r="AC1090" s="22"/>
      <c r="AD1090" s="22"/>
      <c r="AE1090" s="22"/>
      <c r="AF1090" s="22"/>
      <c r="AG1090" s="22"/>
      <c r="AH1090" s="22"/>
      <c r="AI1090" s="12"/>
      <c r="AJ1090" s="90">
        <v>100</v>
      </c>
      <c r="AK1090" s="78">
        <v>2021</v>
      </c>
      <c r="AL1090" s="85">
        <v>279158</v>
      </c>
      <c r="AM1090" s="84"/>
    </row>
    <row r="1091" spans="1:39" ht="49.5">
      <c r="A1091" s="34" t="s">
        <v>916</v>
      </c>
      <c r="E1091" s="37" t="s">
        <v>904</v>
      </c>
      <c r="F1091" s="37"/>
      <c r="G1091" s="80" t="s">
        <v>674</v>
      </c>
      <c r="H1091" s="93" t="s">
        <v>188</v>
      </c>
      <c r="I1091" s="93" t="s">
        <v>108</v>
      </c>
      <c r="J1091" s="81" t="s">
        <v>186</v>
      </c>
      <c r="K1091" s="86" t="s">
        <v>946</v>
      </c>
      <c r="L1091" s="293">
        <f t="shared" si="254"/>
        <v>2999900</v>
      </c>
      <c r="M1091" s="294"/>
      <c r="N1091" s="294">
        <v>2999900</v>
      </c>
      <c r="O1091" s="339"/>
      <c r="P1091" s="339"/>
      <c r="Q1091" s="339"/>
      <c r="R1091" s="90"/>
      <c r="S1091" s="70"/>
      <c r="T1091" s="70"/>
      <c r="U1091" s="70">
        <v>2999900</v>
      </c>
      <c r="V1091" s="29"/>
      <c r="W1091" s="29"/>
      <c r="X1091" s="30"/>
      <c r="Y1091" s="30"/>
      <c r="Z1091" s="30"/>
      <c r="AA1091" s="30"/>
      <c r="AB1091" s="22"/>
      <c r="AC1091" s="22"/>
      <c r="AD1091" s="22"/>
      <c r="AE1091" s="22"/>
      <c r="AF1091" s="22"/>
      <c r="AG1091" s="22"/>
      <c r="AH1091" s="22"/>
      <c r="AI1091" s="12"/>
      <c r="AJ1091" s="90">
        <v>100</v>
      </c>
      <c r="AK1091" s="78">
        <v>2021</v>
      </c>
      <c r="AL1091" s="85">
        <v>2999900</v>
      </c>
      <c r="AM1091" s="84"/>
    </row>
    <row r="1092" spans="1:39" ht="33">
      <c r="A1092" s="34" t="s">
        <v>916</v>
      </c>
      <c r="E1092" s="37" t="s">
        <v>903</v>
      </c>
      <c r="F1092" s="37"/>
      <c r="G1092" s="80" t="s">
        <v>674</v>
      </c>
      <c r="H1092" s="93" t="s">
        <v>188</v>
      </c>
      <c r="I1092" s="93" t="s">
        <v>108</v>
      </c>
      <c r="J1092" s="81" t="s">
        <v>186</v>
      </c>
      <c r="K1092" s="86" t="s">
        <v>867</v>
      </c>
      <c r="L1092" s="293">
        <f t="shared" si="254"/>
        <v>599999</v>
      </c>
      <c r="M1092" s="294"/>
      <c r="N1092" s="294">
        <v>599999</v>
      </c>
      <c r="O1092" s="339"/>
      <c r="P1092" s="339"/>
      <c r="Q1092" s="339"/>
      <c r="R1092" s="90"/>
      <c r="S1092" s="70"/>
      <c r="T1092" s="70"/>
      <c r="U1092" s="70">
        <v>599999</v>
      </c>
      <c r="V1092" s="29"/>
      <c r="W1092" s="29"/>
      <c r="X1092" s="30"/>
      <c r="Y1092" s="30"/>
      <c r="Z1092" s="30"/>
      <c r="AA1092" s="30"/>
      <c r="AB1092" s="22"/>
      <c r="AC1092" s="22"/>
      <c r="AD1092" s="22"/>
      <c r="AE1092" s="22"/>
      <c r="AF1092" s="22"/>
      <c r="AG1092" s="22"/>
      <c r="AH1092" s="22"/>
      <c r="AI1092" s="12"/>
      <c r="AJ1092" s="90">
        <v>100</v>
      </c>
      <c r="AK1092" s="78">
        <v>2021</v>
      </c>
      <c r="AL1092" s="85">
        <v>599999</v>
      </c>
      <c r="AM1092" s="84"/>
    </row>
    <row r="1093" spans="1:39" ht="33">
      <c r="A1093" s="34" t="s">
        <v>916</v>
      </c>
      <c r="E1093" s="37" t="s">
        <v>904</v>
      </c>
      <c r="F1093" s="37"/>
      <c r="G1093" s="80" t="s">
        <v>674</v>
      </c>
      <c r="H1093" s="93" t="s">
        <v>188</v>
      </c>
      <c r="I1093" s="93" t="s">
        <v>108</v>
      </c>
      <c r="J1093" s="81" t="s">
        <v>186</v>
      </c>
      <c r="K1093" s="86" t="s">
        <v>866</v>
      </c>
      <c r="L1093" s="293">
        <f t="shared" si="254"/>
        <v>599900</v>
      </c>
      <c r="M1093" s="294"/>
      <c r="N1093" s="294">
        <v>599900</v>
      </c>
      <c r="O1093" s="339"/>
      <c r="P1093" s="339"/>
      <c r="Q1093" s="339"/>
      <c r="R1093" s="90"/>
      <c r="S1093" s="70"/>
      <c r="T1093" s="70"/>
      <c r="U1093" s="70">
        <v>599900</v>
      </c>
      <c r="V1093" s="29"/>
      <c r="W1093" s="29"/>
      <c r="X1093" s="30"/>
      <c r="Y1093" s="30"/>
      <c r="Z1093" s="30"/>
      <c r="AA1093" s="30"/>
      <c r="AB1093" s="22"/>
      <c r="AC1093" s="22"/>
      <c r="AD1093" s="22"/>
      <c r="AE1093" s="22"/>
      <c r="AF1093" s="22"/>
      <c r="AG1093" s="22"/>
      <c r="AH1093" s="22"/>
      <c r="AI1093" s="12"/>
      <c r="AJ1093" s="90">
        <v>100</v>
      </c>
      <c r="AK1093" s="78">
        <v>2021</v>
      </c>
      <c r="AL1093" s="85">
        <v>599900</v>
      </c>
      <c r="AM1093" s="84"/>
    </row>
    <row r="1094" spans="1:39" ht="66">
      <c r="A1094" s="34" t="s">
        <v>916</v>
      </c>
      <c r="E1094" s="37" t="s">
        <v>903</v>
      </c>
      <c r="F1094" s="37"/>
      <c r="G1094" s="80" t="s">
        <v>674</v>
      </c>
      <c r="H1094" s="93" t="s">
        <v>188</v>
      </c>
      <c r="I1094" s="93" t="s">
        <v>108</v>
      </c>
      <c r="J1094" s="81" t="s">
        <v>186</v>
      </c>
      <c r="K1094" s="86" t="s">
        <v>947</v>
      </c>
      <c r="L1094" s="293">
        <f t="shared" si="254"/>
        <v>2999430</v>
      </c>
      <c r="M1094" s="294"/>
      <c r="N1094" s="294">
        <v>2999430</v>
      </c>
      <c r="O1094" s="339"/>
      <c r="P1094" s="339"/>
      <c r="Q1094" s="339"/>
      <c r="R1094" s="90"/>
      <c r="S1094" s="70"/>
      <c r="T1094" s="70"/>
      <c r="U1094" s="70">
        <v>2999430</v>
      </c>
      <c r="V1094" s="29"/>
      <c r="W1094" s="29"/>
      <c r="X1094" s="30"/>
      <c r="Y1094" s="30"/>
      <c r="Z1094" s="30"/>
      <c r="AA1094" s="30"/>
      <c r="AB1094" s="22"/>
      <c r="AC1094" s="22"/>
      <c r="AD1094" s="22"/>
      <c r="AE1094" s="22"/>
      <c r="AF1094" s="22"/>
      <c r="AG1094" s="22"/>
      <c r="AH1094" s="22"/>
      <c r="AI1094" s="12"/>
      <c r="AJ1094" s="90">
        <v>100</v>
      </c>
      <c r="AK1094" s="78">
        <v>2021</v>
      </c>
      <c r="AL1094" s="85">
        <v>2999430</v>
      </c>
      <c r="AM1094" s="84"/>
    </row>
    <row r="1095" spans="1:39" ht="49.5">
      <c r="A1095" s="34" t="s">
        <v>916</v>
      </c>
      <c r="E1095" s="37" t="s">
        <v>905</v>
      </c>
      <c r="F1095" s="37"/>
      <c r="G1095" s="80" t="s">
        <v>674</v>
      </c>
      <c r="H1095" s="93" t="s">
        <v>188</v>
      </c>
      <c r="I1095" s="93" t="s">
        <v>108</v>
      </c>
      <c r="J1095" s="81" t="s">
        <v>186</v>
      </c>
      <c r="K1095" s="86" t="s">
        <v>948</v>
      </c>
      <c r="L1095" s="293">
        <f t="shared" si="254"/>
        <v>2940000</v>
      </c>
      <c r="M1095" s="294"/>
      <c r="N1095" s="294">
        <v>2940000</v>
      </c>
      <c r="O1095" s="339"/>
      <c r="P1095" s="339"/>
      <c r="Q1095" s="339"/>
      <c r="R1095" s="90"/>
      <c r="S1095" s="70"/>
      <c r="T1095" s="70"/>
      <c r="U1095" s="70">
        <v>2940000</v>
      </c>
      <c r="V1095" s="29"/>
      <c r="W1095" s="29"/>
      <c r="X1095" s="30"/>
      <c r="Y1095" s="30"/>
      <c r="Z1095" s="30"/>
      <c r="AA1095" s="30"/>
      <c r="AB1095" s="22"/>
      <c r="AC1095" s="22"/>
      <c r="AD1095" s="22"/>
      <c r="AE1095" s="22"/>
      <c r="AF1095" s="22"/>
      <c r="AG1095" s="22"/>
      <c r="AH1095" s="22"/>
      <c r="AI1095" s="12"/>
      <c r="AJ1095" s="90">
        <v>100</v>
      </c>
      <c r="AK1095" s="78">
        <v>2021</v>
      </c>
      <c r="AL1095" s="85">
        <v>2940000</v>
      </c>
      <c r="AM1095" s="84"/>
    </row>
    <row r="1096" spans="1:39" s="233" customFormat="1">
      <c r="A1096" s="193" t="s">
        <v>917</v>
      </c>
      <c r="B1096" s="234" t="s">
        <v>193</v>
      </c>
      <c r="C1096" s="234"/>
      <c r="D1096" s="234"/>
      <c r="E1096" s="225" t="s">
        <v>1225</v>
      </c>
      <c r="F1096" s="225"/>
      <c r="G1096" s="183" t="s">
        <v>164</v>
      </c>
      <c r="H1096" s="183"/>
      <c r="I1096" s="183"/>
      <c r="J1096" s="184" t="s">
        <v>165</v>
      </c>
      <c r="K1096" s="201"/>
      <c r="L1096" s="287">
        <f t="shared" ref="L1096" si="255">SUM(L1098:L1101)</f>
        <v>2398564</v>
      </c>
      <c r="M1096" s="288">
        <f>SUM(M1098:M1101)</f>
        <v>0</v>
      </c>
      <c r="N1096" s="289">
        <f>SUM(N1098:N1101)</f>
        <v>2398564</v>
      </c>
      <c r="O1096" s="289">
        <f t="shared" ref="O1096:P1096" si="256">SUM(O1098:O1101)</f>
        <v>0</v>
      </c>
      <c r="P1096" s="289">
        <f t="shared" si="256"/>
        <v>0</v>
      </c>
      <c r="Q1096" s="289">
        <f t="shared" ref="Q1096" si="257">SUM(Q1098:Q1101)</f>
        <v>0</v>
      </c>
      <c r="R1096" s="187">
        <f t="shared" ref="R1096:R1097" si="258">L1096-M1096-N1096-O1096-P1096-Q1096</f>
        <v>0</v>
      </c>
      <c r="S1096" s="187"/>
      <c r="T1096" s="187"/>
      <c r="U1096" s="187">
        <f>SUM(U1098:U1101)</f>
        <v>2398564</v>
      </c>
      <c r="V1096" s="187">
        <f>1199300+599764</f>
        <v>1799064</v>
      </c>
      <c r="W1096" s="187">
        <f>599500</f>
        <v>599500</v>
      </c>
      <c r="X1096" s="239"/>
      <c r="Y1096" s="239"/>
      <c r="Z1096" s="239"/>
      <c r="AA1096" s="239"/>
      <c r="AB1096" s="191"/>
      <c r="AC1096" s="191"/>
      <c r="AD1096" s="191"/>
      <c r="AE1096" s="191"/>
      <c r="AF1096" s="191"/>
      <c r="AG1096" s="191"/>
      <c r="AH1096" s="191"/>
      <c r="AI1096" s="231"/>
      <c r="AJ1096" s="187"/>
      <c r="AK1096" s="237"/>
      <c r="AL1096" s="232"/>
      <c r="AM1096" s="237"/>
    </row>
    <row r="1097" spans="1:39" s="233" customFormat="1">
      <c r="A1097" s="193" t="s">
        <v>917</v>
      </c>
      <c r="B1097" s="234"/>
      <c r="C1097" s="234"/>
      <c r="D1097" s="234"/>
      <c r="E1097" s="225" t="s">
        <v>1225</v>
      </c>
      <c r="F1097" s="225"/>
      <c r="G1097" s="183" t="s">
        <v>166</v>
      </c>
      <c r="H1097" s="183"/>
      <c r="I1097" s="183"/>
      <c r="J1097" s="190" t="s">
        <v>165</v>
      </c>
      <c r="K1097" s="201"/>
      <c r="L1097" s="290"/>
      <c r="M1097" s="291"/>
      <c r="N1097" s="297"/>
      <c r="O1097" s="297"/>
      <c r="P1097" s="297"/>
      <c r="Q1097" s="297"/>
      <c r="R1097" s="187">
        <f t="shared" si="258"/>
        <v>0</v>
      </c>
      <c r="S1097" s="199"/>
      <c r="T1097" s="199"/>
      <c r="U1097" s="199"/>
      <c r="V1097" s="187"/>
      <c r="W1097" s="187"/>
      <c r="X1097" s="239"/>
      <c r="Y1097" s="239"/>
      <c r="Z1097" s="239"/>
      <c r="AA1097" s="239"/>
      <c r="AB1097" s="191"/>
      <c r="AC1097" s="191"/>
      <c r="AD1097" s="191"/>
      <c r="AE1097" s="191"/>
      <c r="AF1097" s="191"/>
      <c r="AG1097" s="191"/>
      <c r="AH1097" s="191"/>
      <c r="AI1097" s="231"/>
      <c r="AJ1097" s="199"/>
      <c r="AK1097" s="237"/>
      <c r="AL1097" s="232"/>
      <c r="AM1097" s="237"/>
    </row>
    <row r="1098" spans="1:39" ht="33">
      <c r="A1098" s="34" t="s">
        <v>917</v>
      </c>
      <c r="E1098" s="37" t="s">
        <v>901</v>
      </c>
      <c r="F1098" s="37"/>
      <c r="G1098" s="80" t="s">
        <v>336</v>
      </c>
      <c r="H1098" s="80" t="s">
        <v>188</v>
      </c>
      <c r="I1098" s="80" t="s">
        <v>108</v>
      </c>
      <c r="J1098" s="81" t="s">
        <v>186</v>
      </c>
      <c r="K1098" s="86" t="s">
        <v>227</v>
      </c>
      <c r="L1098" s="336">
        <f>SUM(M1098:Q1098)</f>
        <v>599900</v>
      </c>
      <c r="M1098" s="337"/>
      <c r="N1098" s="338">
        <v>599900</v>
      </c>
      <c r="O1098" s="339"/>
      <c r="P1098" s="339"/>
      <c r="Q1098" s="339"/>
      <c r="R1098" s="90"/>
      <c r="S1098" s="6"/>
      <c r="T1098" s="6"/>
      <c r="U1098" s="6">
        <v>599900</v>
      </c>
      <c r="V1098" s="24"/>
      <c r="W1098" s="24"/>
      <c r="X1098" s="30"/>
      <c r="Y1098" s="30"/>
      <c r="Z1098" s="30"/>
      <c r="AA1098" s="30"/>
      <c r="AB1098" s="22"/>
      <c r="AC1098" s="22"/>
      <c r="AD1098" s="22"/>
      <c r="AE1098" s="22"/>
      <c r="AF1098" s="22"/>
      <c r="AG1098" s="22"/>
      <c r="AH1098" s="22"/>
      <c r="AI1098" s="12"/>
      <c r="AJ1098" s="90">
        <v>100</v>
      </c>
      <c r="AK1098" s="90">
        <v>2021</v>
      </c>
      <c r="AL1098" s="97">
        <v>599900</v>
      </c>
      <c r="AM1098" s="90"/>
    </row>
    <row r="1099" spans="1:39" ht="33">
      <c r="A1099" s="34" t="s">
        <v>917</v>
      </c>
      <c r="E1099" s="37" t="s">
        <v>901</v>
      </c>
      <c r="F1099" s="37"/>
      <c r="G1099" s="80" t="s">
        <v>336</v>
      </c>
      <c r="H1099" s="80" t="s">
        <v>188</v>
      </c>
      <c r="I1099" s="80" t="s">
        <v>108</v>
      </c>
      <c r="J1099" s="81" t="s">
        <v>186</v>
      </c>
      <c r="K1099" s="86" t="s">
        <v>228</v>
      </c>
      <c r="L1099" s="336">
        <f>SUM(M1099:Q1099)</f>
        <v>599400</v>
      </c>
      <c r="M1099" s="337"/>
      <c r="N1099" s="338">
        <v>599400</v>
      </c>
      <c r="O1099" s="339"/>
      <c r="P1099" s="339"/>
      <c r="Q1099" s="339"/>
      <c r="R1099" s="90"/>
      <c r="S1099" s="6"/>
      <c r="T1099" s="6"/>
      <c r="U1099" s="6">
        <v>599400</v>
      </c>
      <c r="V1099" s="24"/>
      <c r="W1099" s="24"/>
      <c r="X1099" s="30"/>
      <c r="Y1099" s="30"/>
      <c r="Z1099" s="30"/>
      <c r="AA1099" s="30"/>
      <c r="AB1099" s="22"/>
      <c r="AC1099" s="22"/>
      <c r="AD1099" s="22"/>
      <c r="AE1099" s="22"/>
      <c r="AF1099" s="22"/>
      <c r="AG1099" s="22"/>
      <c r="AH1099" s="22"/>
      <c r="AI1099" s="12"/>
      <c r="AJ1099" s="90">
        <v>100</v>
      </c>
      <c r="AK1099" s="90">
        <v>2021</v>
      </c>
      <c r="AL1099" s="97">
        <v>599400</v>
      </c>
      <c r="AM1099" s="108"/>
    </row>
    <row r="1100" spans="1:39" ht="33">
      <c r="A1100" s="34" t="s">
        <v>917</v>
      </c>
      <c r="E1100" s="37" t="s">
        <v>901</v>
      </c>
      <c r="F1100" s="37"/>
      <c r="G1100" s="80" t="s">
        <v>336</v>
      </c>
      <c r="H1100" s="80" t="s">
        <v>188</v>
      </c>
      <c r="I1100" s="80" t="s">
        <v>108</v>
      </c>
      <c r="J1100" s="81" t="s">
        <v>186</v>
      </c>
      <c r="K1100" s="86" t="s">
        <v>685</v>
      </c>
      <c r="L1100" s="336">
        <f>SUM(M1100:Q1100)</f>
        <v>599500</v>
      </c>
      <c r="M1100" s="337"/>
      <c r="N1100" s="338">
        <v>599500</v>
      </c>
      <c r="O1100" s="339"/>
      <c r="P1100" s="339"/>
      <c r="Q1100" s="339"/>
      <c r="R1100" s="90"/>
      <c r="S1100" s="6"/>
      <c r="T1100" s="6"/>
      <c r="U1100" s="6">
        <v>599500</v>
      </c>
      <c r="V1100" s="24"/>
      <c r="W1100" s="24"/>
      <c r="X1100" s="30"/>
      <c r="Y1100" s="30"/>
      <c r="Z1100" s="30"/>
      <c r="AA1100" s="30"/>
      <c r="AB1100" s="22"/>
      <c r="AC1100" s="22"/>
      <c r="AD1100" s="22"/>
      <c r="AE1100" s="22"/>
      <c r="AF1100" s="22"/>
      <c r="AG1100" s="22"/>
      <c r="AH1100" s="22"/>
      <c r="AI1100" s="12"/>
      <c r="AJ1100" s="90">
        <v>100</v>
      </c>
      <c r="AK1100" s="90">
        <v>2021</v>
      </c>
      <c r="AL1100" s="97">
        <v>599500</v>
      </c>
      <c r="AM1100" s="108"/>
    </row>
    <row r="1101" spans="1:39" ht="49.5">
      <c r="A1101" s="34" t="s">
        <v>917</v>
      </c>
      <c r="E1101" s="37" t="s">
        <v>901</v>
      </c>
      <c r="F1101" s="37"/>
      <c r="G1101" s="80" t="s">
        <v>336</v>
      </c>
      <c r="H1101" s="80" t="s">
        <v>188</v>
      </c>
      <c r="I1101" s="80" t="s">
        <v>108</v>
      </c>
      <c r="J1101" s="81" t="s">
        <v>186</v>
      </c>
      <c r="K1101" s="86" t="s">
        <v>1169</v>
      </c>
      <c r="L1101" s="336">
        <f>SUM(M1101:Q1101)</f>
        <v>599764</v>
      </c>
      <c r="M1101" s="337"/>
      <c r="N1101" s="338">
        <v>599764</v>
      </c>
      <c r="O1101" s="339"/>
      <c r="P1101" s="339"/>
      <c r="Q1101" s="339"/>
      <c r="R1101" s="90"/>
      <c r="S1101" s="6"/>
      <c r="T1101" s="6"/>
      <c r="U1101" s="6">
        <v>599764</v>
      </c>
      <c r="V1101" s="24"/>
      <c r="W1101" s="24"/>
      <c r="X1101" s="30"/>
      <c r="Y1101" s="30"/>
      <c r="Z1101" s="30"/>
      <c r="AA1101" s="30"/>
      <c r="AB1101" s="22"/>
      <c r="AC1101" s="22"/>
      <c r="AD1101" s="22"/>
      <c r="AE1101" s="22"/>
      <c r="AF1101" s="22"/>
      <c r="AG1101" s="22"/>
      <c r="AH1101" s="22"/>
      <c r="AI1101" s="12"/>
      <c r="AJ1101" s="90">
        <v>100</v>
      </c>
      <c r="AK1101" s="90">
        <v>2021</v>
      </c>
      <c r="AL1101" s="97">
        <v>599764</v>
      </c>
      <c r="AM1101" s="108"/>
    </row>
    <row r="1102" spans="1:39" s="233" customFormat="1">
      <c r="A1102" s="193" t="s">
        <v>918</v>
      </c>
      <c r="B1102" s="234" t="s">
        <v>193</v>
      </c>
      <c r="C1102" s="234"/>
      <c r="D1102" s="234"/>
      <c r="E1102" s="225" t="s">
        <v>1225</v>
      </c>
      <c r="F1102" s="225"/>
      <c r="G1102" s="183" t="s">
        <v>167</v>
      </c>
      <c r="H1102" s="183"/>
      <c r="I1102" s="183"/>
      <c r="J1102" s="184" t="s">
        <v>168</v>
      </c>
      <c r="K1102" s="201"/>
      <c r="L1102" s="287">
        <f t="shared" ref="L1102" si="259">SUM(L1104:L1109)</f>
        <v>5928464</v>
      </c>
      <c r="M1102" s="288">
        <f>SUM(M1104:M1109)</f>
        <v>0</v>
      </c>
      <c r="N1102" s="289">
        <f>SUM(N1104:N1109)</f>
        <v>5928464</v>
      </c>
      <c r="O1102" s="289">
        <f t="shared" ref="O1102:P1102" si="260">SUM(O1104:O1109)</f>
        <v>0</v>
      </c>
      <c r="P1102" s="289">
        <f t="shared" si="260"/>
        <v>0</v>
      </c>
      <c r="Q1102" s="289">
        <f t="shared" ref="Q1102" si="261">SUM(Q1104:Q1109)</f>
        <v>0</v>
      </c>
      <c r="R1102" s="187">
        <f t="shared" ref="R1102:R1103" si="262">L1102-M1102-N1102-O1102-P1102-Q1102</f>
        <v>0</v>
      </c>
      <c r="S1102" s="187"/>
      <c r="T1102" s="187"/>
      <c r="U1102" s="187">
        <f>SUM(U1104:U1109)</f>
        <v>5928464</v>
      </c>
      <c r="V1102" s="187">
        <v>2347788</v>
      </c>
      <c r="W1102" s="187">
        <f>580676+3000000</f>
        <v>3580676</v>
      </c>
      <c r="X1102" s="239"/>
      <c r="Y1102" s="239"/>
      <c r="Z1102" s="239"/>
      <c r="AA1102" s="239"/>
      <c r="AB1102" s="191"/>
      <c r="AC1102" s="191"/>
      <c r="AD1102" s="191"/>
      <c r="AE1102" s="191"/>
      <c r="AF1102" s="191"/>
      <c r="AG1102" s="191"/>
      <c r="AH1102" s="191"/>
      <c r="AI1102" s="231"/>
      <c r="AJ1102" s="187"/>
      <c r="AK1102" s="238"/>
      <c r="AL1102" s="238"/>
      <c r="AM1102" s="237"/>
    </row>
    <row r="1103" spans="1:39" s="233" customFormat="1">
      <c r="A1103" s="193" t="s">
        <v>918</v>
      </c>
      <c r="B1103" s="234"/>
      <c r="C1103" s="234"/>
      <c r="D1103" s="234"/>
      <c r="E1103" s="225" t="s">
        <v>1225</v>
      </c>
      <c r="F1103" s="225"/>
      <c r="G1103" s="183" t="s">
        <v>169</v>
      </c>
      <c r="H1103" s="183"/>
      <c r="I1103" s="183"/>
      <c r="J1103" s="190" t="s">
        <v>168</v>
      </c>
      <c r="K1103" s="201"/>
      <c r="L1103" s="290"/>
      <c r="M1103" s="291"/>
      <c r="N1103" s="297"/>
      <c r="O1103" s="297"/>
      <c r="P1103" s="297"/>
      <c r="Q1103" s="297"/>
      <c r="R1103" s="187">
        <f t="shared" si="262"/>
        <v>0</v>
      </c>
      <c r="S1103" s="199"/>
      <c r="T1103" s="199"/>
      <c r="U1103" s="199"/>
      <c r="V1103" s="187"/>
      <c r="W1103" s="187"/>
      <c r="X1103" s="239"/>
      <c r="Y1103" s="239"/>
      <c r="Z1103" s="239"/>
      <c r="AA1103" s="239"/>
      <c r="AB1103" s="191"/>
      <c r="AC1103" s="191"/>
      <c r="AD1103" s="191"/>
      <c r="AE1103" s="191"/>
      <c r="AF1103" s="191"/>
      <c r="AG1103" s="191"/>
      <c r="AH1103" s="191"/>
      <c r="AI1103" s="231"/>
      <c r="AJ1103" s="199"/>
      <c r="AK1103" s="238"/>
      <c r="AL1103" s="238"/>
      <c r="AM1103" s="237"/>
    </row>
    <row r="1104" spans="1:39" ht="33">
      <c r="A1104" s="34" t="s">
        <v>918</v>
      </c>
      <c r="E1104" s="37" t="s">
        <v>902</v>
      </c>
      <c r="F1104" s="37"/>
      <c r="G1104" s="80" t="s">
        <v>229</v>
      </c>
      <c r="H1104" s="80" t="s">
        <v>188</v>
      </c>
      <c r="I1104" s="80" t="s">
        <v>108</v>
      </c>
      <c r="J1104" s="81" t="s">
        <v>186</v>
      </c>
      <c r="K1104" s="86" t="s">
        <v>230</v>
      </c>
      <c r="L1104" s="293">
        <f t="shared" ref="L1104:L1109" si="263">SUM(M1104:Q1104)</f>
        <v>599999</v>
      </c>
      <c r="M1104" s="294"/>
      <c r="N1104" s="302">
        <v>599999</v>
      </c>
      <c r="O1104" s="339"/>
      <c r="P1104" s="339"/>
      <c r="Q1104" s="339"/>
      <c r="R1104" s="90"/>
      <c r="S1104" s="68"/>
      <c r="T1104" s="68"/>
      <c r="U1104" s="68">
        <v>599999</v>
      </c>
      <c r="V1104" s="24"/>
      <c r="W1104" s="24"/>
      <c r="X1104" s="30"/>
      <c r="Y1104" s="30"/>
      <c r="Z1104" s="30"/>
      <c r="AA1104" s="30"/>
      <c r="AB1104" s="22"/>
      <c r="AC1104" s="22"/>
      <c r="AD1104" s="22"/>
      <c r="AE1104" s="22"/>
      <c r="AF1104" s="22"/>
      <c r="AG1104" s="22"/>
      <c r="AH1104" s="22"/>
      <c r="AI1104" s="12"/>
      <c r="AJ1104" s="90">
        <v>100</v>
      </c>
      <c r="AK1104" s="90">
        <v>2021</v>
      </c>
      <c r="AL1104" s="85">
        <v>599999</v>
      </c>
      <c r="AM1104" s="98"/>
    </row>
    <row r="1105" spans="1:39" ht="33">
      <c r="A1105" s="34" t="s">
        <v>918</v>
      </c>
      <c r="E1105" s="37" t="s">
        <v>902</v>
      </c>
      <c r="F1105" s="37"/>
      <c r="G1105" s="80" t="s">
        <v>229</v>
      </c>
      <c r="H1105" s="80" t="s">
        <v>188</v>
      </c>
      <c r="I1105" s="80" t="s">
        <v>108</v>
      </c>
      <c r="J1105" s="81" t="s">
        <v>186</v>
      </c>
      <c r="K1105" s="86" t="s">
        <v>231</v>
      </c>
      <c r="L1105" s="293">
        <f t="shared" si="263"/>
        <v>550472</v>
      </c>
      <c r="M1105" s="294"/>
      <c r="N1105" s="302">
        <v>550472</v>
      </c>
      <c r="O1105" s="339"/>
      <c r="P1105" s="339"/>
      <c r="Q1105" s="339"/>
      <c r="R1105" s="90"/>
      <c r="S1105" s="68"/>
      <c r="T1105" s="68"/>
      <c r="U1105" s="68">
        <v>550472</v>
      </c>
      <c r="V1105" s="12"/>
      <c r="W1105" s="12"/>
      <c r="X1105" s="30"/>
      <c r="Y1105" s="30"/>
      <c r="Z1105" s="30"/>
      <c r="AA1105" s="30"/>
      <c r="AB1105" s="22"/>
      <c r="AC1105" s="22"/>
      <c r="AD1105" s="22"/>
      <c r="AE1105" s="22"/>
      <c r="AF1105" s="22"/>
      <c r="AG1105" s="22"/>
      <c r="AH1105" s="22"/>
      <c r="AI1105" s="12"/>
      <c r="AJ1105" s="90">
        <v>100</v>
      </c>
      <c r="AK1105" s="90">
        <v>2021</v>
      </c>
      <c r="AL1105" s="85">
        <v>550472</v>
      </c>
      <c r="AM1105" s="98"/>
    </row>
    <row r="1106" spans="1:39" ht="33">
      <c r="A1106" s="34" t="s">
        <v>918</v>
      </c>
      <c r="E1106" s="37" t="s">
        <v>902</v>
      </c>
      <c r="F1106" s="37"/>
      <c r="G1106" s="80" t="s">
        <v>229</v>
      </c>
      <c r="H1106" s="80" t="s">
        <v>188</v>
      </c>
      <c r="I1106" s="80" t="s">
        <v>108</v>
      </c>
      <c r="J1106" s="81" t="s">
        <v>186</v>
      </c>
      <c r="K1106" s="86" t="s">
        <v>232</v>
      </c>
      <c r="L1106" s="293">
        <f t="shared" si="263"/>
        <v>598317</v>
      </c>
      <c r="M1106" s="294"/>
      <c r="N1106" s="302">
        <v>598317</v>
      </c>
      <c r="O1106" s="339"/>
      <c r="P1106" s="339"/>
      <c r="Q1106" s="339"/>
      <c r="R1106" s="90"/>
      <c r="S1106" s="68"/>
      <c r="T1106" s="68"/>
      <c r="U1106" s="68">
        <v>598317</v>
      </c>
      <c r="V1106" s="12"/>
      <c r="W1106" s="12"/>
      <c r="X1106" s="30"/>
      <c r="Y1106" s="30"/>
      <c r="Z1106" s="30"/>
      <c r="AA1106" s="30"/>
      <c r="AB1106" s="22"/>
      <c r="AC1106" s="22"/>
      <c r="AD1106" s="22"/>
      <c r="AE1106" s="22"/>
      <c r="AF1106" s="22"/>
      <c r="AG1106" s="22"/>
      <c r="AH1106" s="22"/>
      <c r="AI1106" s="12"/>
      <c r="AJ1106" s="90">
        <v>100</v>
      </c>
      <c r="AK1106" s="90">
        <v>2021</v>
      </c>
      <c r="AL1106" s="85">
        <v>598317</v>
      </c>
      <c r="AM1106" s="98"/>
    </row>
    <row r="1107" spans="1:39" ht="49.5">
      <c r="A1107" s="34" t="s">
        <v>918</v>
      </c>
      <c r="E1107" s="37" t="s">
        <v>902</v>
      </c>
      <c r="F1107" s="37"/>
      <c r="G1107" s="80" t="s">
        <v>229</v>
      </c>
      <c r="H1107" s="80" t="s">
        <v>188</v>
      </c>
      <c r="I1107" s="80" t="s">
        <v>108</v>
      </c>
      <c r="J1107" s="81" t="s">
        <v>186</v>
      </c>
      <c r="K1107" s="82" t="s">
        <v>682</v>
      </c>
      <c r="L1107" s="293">
        <f t="shared" si="263"/>
        <v>599000</v>
      </c>
      <c r="M1107" s="294"/>
      <c r="N1107" s="302">
        <v>599000</v>
      </c>
      <c r="O1107" s="339"/>
      <c r="P1107" s="339"/>
      <c r="Q1107" s="339"/>
      <c r="R1107" s="90"/>
      <c r="S1107" s="68"/>
      <c r="T1107" s="68"/>
      <c r="U1107" s="68">
        <v>599000</v>
      </c>
      <c r="V1107" s="12"/>
      <c r="W1107" s="12"/>
      <c r="X1107" s="30"/>
      <c r="Y1107" s="30"/>
      <c r="Z1107" s="30"/>
      <c r="AA1107" s="30"/>
      <c r="AB1107" s="22"/>
      <c r="AC1107" s="22"/>
      <c r="AD1107" s="22"/>
      <c r="AE1107" s="22"/>
      <c r="AF1107" s="22"/>
      <c r="AG1107" s="22"/>
      <c r="AH1107" s="22"/>
      <c r="AI1107" s="12"/>
      <c r="AJ1107" s="90">
        <v>100</v>
      </c>
      <c r="AK1107" s="90">
        <v>2021</v>
      </c>
      <c r="AL1107" s="85">
        <v>599000</v>
      </c>
      <c r="AM1107" s="98"/>
    </row>
    <row r="1108" spans="1:39" ht="49.5">
      <c r="A1108" s="34" t="s">
        <v>918</v>
      </c>
      <c r="E1108" s="37" t="s">
        <v>902</v>
      </c>
      <c r="F1108" s="37"/>
      <c r="G1108" s="80" t="s">
        <v>229</v>
      </c>
      <c r="H1108" s="80" t="s">
        <v>188</v>
      </c>
      <c r="I1108" s="80" t="s">
        <v>108</v>
      </c>
      <c r="J1108" s="81" t="s">
        <v>186</v>
      </c>
      <c r="K1108" s="82" t="s">
        <v>1170</v>
      </c>
      <c r="L1108" s="293">
        <f t="shared" si="263"/>
        <v>3000000</v>
      </c>
      <c r="M1108" s="294"/>
      <c r="N1108" s="302">
        <v>3000000</v>
      </c>
      <c r="O1108" s="339"/>
      <c r="P1108" s="339"/>
      <c r="Q1108" s="339"/>
      <c r="R1108" s="90"/>
      <c r="S1108" s="68"/>
      <c r="T1108" s="68"/>
      <c r="U1108" s="68">
        <v>3000000</v>
      </c>
      <c r="V1108" s="12"/>
      <c r="W1108" s="12"/>
      <c r="X1108" s="30"/>
      <c r="Y1108" s="30"/>
      <c r="Z1108" s="30"/>
      <c r="AA1108" s="30"/>
      <c r="AB1108" s="22"/>
      <c r="AC1108" s="22"/>
      <c r="AD1108" s="22"/>
      <c r="AE1108" s="22"/>
      <c r="AF1108" s="22"/>
      <c r="AG1108" s="22"/>
      <c r="AH1108" s="22"/>
      <c r="AI1108" s="12"/>
      <c r="AJ1108" s="90">
        <v>100</v>
      </c>
      <c r="AK1108" s="90">
        <v>2021</v>
      </c>
      <c r="AL1108" s="85">
        <v>3000000</v>
      </c>
      <c r="AM1108" s="98"/>
    </row>
    <row r="1109" spans="1:39" ht="49.5">
      <c r="A1109" s="34" t="s">
        <v>918</v>
      </c>
      <c r="E1109" s="37" t="s">
        <v>902</v>
      </c>
      <c r="F1109" s="37"/>
      <c r="G1109" s="80" t="s">
        <v>229</v>
      </c>
      <c r="H1109" s="80" t="s">
        <v>188</v>
      </c>
      <c r="I1109" s="80" t="s">
        <v>108</v>
      </c>
      <c r="J1109" s="81" t="s">
        <v>186</v>
      </c>
      <c r="K1109" s="82" t="s">
        <v>936</v>
      </c>
      <c r="L1109" s="293">
        <f t="shared" si="263"/>
        <v>580676</v>
      </c>
      <c r="M1109" s="294"/>
      <c r="N1109" s="302">
        <v>580676</v>
      </c>
      <c r="O1109" s="339"/>
      <c r="P1109" s="339"/>
      <c r="Q1109" s="339"/>
      <c r="R1109" s="90"/>
      <c r="S1109" s="68"/>
      <c r="T1109" s="68"/>
      <c r="U1109" s="68">
        <v>580676</v>
      </c>
      <c r="V1109" s="12"/>
      <c r="W1109" s="12"/>
      <c r="X1109" s="30"/>
      <c r="Y1109" s="30"/>
      <c r="Z1109" s="30"/>
      <c r="AA1109" s="30"/>
      <c r="AB1109" s="22"/>
      <c r="AC1109" s="22"/>
      <c r="AD1109" s="22"/>
      <c r="AE1109" s="22"/>
      <c r="AF1109" s="22"/>
      <c r="AG1109" s="22"/>
      <c r="AH1109" s="22"/>
      <c r="AI1109" s="12"/>
      <c r="AJ1109" s="90">
        <v>100</v>
      </c>
      <c r="AK1109" s="90">
        <v>2021</v>
      </c>
      <c r="AL1109" s="85">
        <v>580676</v>
      </c>
      <c r="AM1109" s="98"/>
    </row>
    <row r="1110" spans="1:39" s="233" customFormat="1">
      <c r="A1110" s="193" t="s">
        <v>919</v>
      </c>
      <c r="B1110" s="234" t="s">
        <v>193</v>
      </c>
      <c r="C1110" s="234"/>
      <c r="D1110" s="234"/>
      <c r="E1110" s="225" t="s">
        <v>1225</v>
      </c>
      <c r="F1110" s="225"/>
      <c r="G1110" s="183" t="s">
        <v>170</v>
      </c>
      <c r="H1110" s="183"/>
      <c r="I1110" s="183"/>
      <c r="J1110" s="184" t="s">
        <v>171</v>
      </c>
      <c r="K1110" s="201"/>
      <c r="L1110" s="287">
        <f t="shared" ref="L1110" si="264">SUM(L1112:L1114)</f>
        <v>1765871</v>
      </c>
      <c r="M1110" s="288">
        <f>SUM(M1112:M1114)</f>
        <v>0</v>
      </c>
      <c r="N1110" s="289">
        <f>SUM(N1112:N1114)</f>
        <v>1765871</v>
      </c>
      <c r="O1110" s="289">
        <f t="shared" ref="O1110:P1110" si="265">SUM(O1112:O1114)</f>
        <v>0</v>
      </c>
      <c r="P1110" s="289">
        <f t="shared" si="265"/>
        <v>0</v>
      </c>
      <c r="Q1110" s="289">
        <f t="shared" ref="Q1110" si="266">SUM(Q1112:Q1114)</f>
        <v>0</v>
      </c>
      <c r="R1110" s="187">
        <f t="shared" ref="R1110:R1111" si="267">L1110-M1110-N1110-O1110-P1110-Q1110</f>
        <v>0</v>
      </c>
      <c r="S1110" s="187"/>
      <c r="T1110" s="187"/>
      <c r="U1110" s="187">
        <f>SUM(U1112:U1114)</f>
        <v>1765871</v>
      </c>
      <c r="V1110" s="187">
        <v>1765871</v>
      </c>
      <c r="W1110" s="231"/>
      <c r="X1110" s="239"/>
      <c r="Y1110" s="239"/>
      <c r="Z1110" s="239"/>
      <c r="AA1110" s="239"/>
      <c r="AB1110" s="191"/>
      <c r="AC1110" s="191"/>
      <c r="AD1110" s="191"/>
      <c r="AE1110" s="191"/>
      <c r="AF1110" s="191"/>
      <c r="AG1110" s="191"/>
      <c r="AH1110" s="191"/>
      <c r="AI1110" s="231"/>
      <c r="AJ1110" s="187"/>
      <c r="AK1110" s="237"/>
      <c r="AL1110" s="232"/>
      <c r="AM1110" s="237"/>
    </row>
    <row r="1111" spans="1:39" s="233" customFormat="1">
      <c r="A1111" s="193" t="s">
        <v>919</v>
      </c>
      <c r="B1111" s="234"/>
      <c r="C1111" s="234"/>
      <c r="D1111" s="234"/>
      <c r="E1111" s="225" t="s">
        <v>1225</v>
      </c>
      <c r="F1111" s="225"/>
      <c r="G1111" s="183" t="s">
        <v>172</v>
      </c>
      <c r="H1111" s="183"/>
      <c r="I1111" s="183"/>
      <c r="J1111" s="190" t="s">
        <v>171</v>
      </c>
      <c r="K1111" s="201"/>
      <c r="L1111" s="290"/>
      <c r="M1111" s="291"/>
      <c r="N1111" s="297"/>
      <c r="O1111" s="297"/>
      <c r="P1111" s="297"/>
      <c r="Q1111" s="297"/>
      <c r="R1111" s="187">
        <f t="shared" si="267"/>
        <v>0</v>
      </c>
      <c r="S1111" s="199"/>
      <c r="T1111" s="199"/>
      <c r="U1111" s="199"/>
      <c r="V1111" s="231"/>
      <c r="W1111" s="231"/>
      <c r="X1111" s="239"/>
      <c r="Y1111" s="239"/>
      <c r="Z1111" s="239"/>
      <c r="AA1111" s="239"/>
      <c r="AB1111" s="191"/>
      <c r="AC1111" s="191"/>
      <c r="AD1111" s="191"/>
      <c r="AE1111" s="191"/>
      <c r="AF1111" s="191"/>
      <c r="AG1111" s="191"/>
      <c r="AH1111" s="191"/>
      <c r="AI1111" s="231"/>
      <c r="AJ1111" s="199"/>
      <c r="AK1111" s="237"/>
      <c r="AL1111" s="232"/>
      <c r="AM1111" s="237"/>
    </row>
    <row r="1112" spans="1:39" ht="33">
      <c r="A1112" s="34" t="s">
        <v>919</v>
      </c>
      <c r="E1112" s="37" t="s">
        <v>903</v>
      </c>
      <c r="F1112" s="37"/>
      <c r="G1112" s="80" t="s">
        <v>401</v>
      </c>
      <c r="H1112" s="80" t="s">
        <v>188</v>
      </c>
      <c r="I1112" s="80" t="s">
        <v>108</v>
      </c>
      <c r="J1112" s="81" t="s">
        <v>186</v>
      </c>
      <c r="K1112" s="86" t="s">
        <v>683</v>
      </c>
      <c r="L1112" s="298">
        <f>SUM(M1112:Q1112)</f>
        <v>596390</v>
      </c>
      <c r="M1112" s="299"/>
      <c r="N1112" s="301">
        <v>596390</v>
      </c>
      <c r="O1112" s="339"/>
      <c r="P1112" s="339"/>
      <c r="Q1112" s="339"/>
      <c r="R1112" s="90"/>
      <c r="S1112" s="67"/>
      <c r="T1112" s="67"/>
      <c r="U1112" s="67">
        <v>596390</v>
      </c>
      <c r="V1112" s="12"/>
      <c r="W1112" s="12"/>
      <c r="X1112" s="30"/>
      <c r="Y1112" s="30"/>
      <c r="Z1112" s="30"/>
      <c r="AA1112" s="30"/>
      <c r="AB1112" s="22"/>
      <c r="AC1112" s="22"/>
      <c r="AD1112" s="22"/>
      <c r="AE1112" s="22"/>
      <c r="AF1112" s="22"/>
      <c r="AG1112" s="22"/>
      <c r="AH1112" s="22"/>
      <c r="AI1112" s="12"/>
      <c r="AJ1112" s="90">
        <v>100</v>
      </c>
      <c r="AK1112" s="90">
        <v>2021</v>
      </c>
      <c r="AL1112" s="85">
        <v>596390</v>
      </c>
      <c r="AM1112" s="98"/>
    </row>
    <row r="1113" spans="1:39" ht="33">
      <c r="A1113" s="34" t="s">
        <v>919</v>
      </c>
      <c r="E1113" s="37" t="s">
        <v>903</v>
      </c>
      <c r="F1113" s="37"/>
      <c r="G1113" s="80" t="s">
        <v>401</v>
      </c>
      <c r="H1113" s="80" t="s">
        <v>188</v>
      </c>
      <c r="I1113" s="80" t="s">
        <v>108</v>
      </c>
      <c r="J1113" s="81" t="s">
        <v>186</v>
      </c>
      <c r="K1113" s="86" t="s">
        <v>1171</v>
      </c>
      <c r="L1113" s="298">
        <f>SUM(M1113:Q1113)</f>
        <v>599900</v>
      </c>
      <c r="M1113" s="299"/>
      <c r="N1113" s="301">
        <v>599900</v>
      </c>
      <c r="O1113" s="339"/>
      <c r="P1113" s="339"/>
      <c r="Q1113" s="339"/>
      <c r="R1113" s="90"/>
      <c r="S1113" s="67"/>
      <c r="T1113" s="67"/>
      <c r="U1113" s="67">
        <v>599900</v>
      </c>
      <c r="V1113" s="12"/>
      <c r="W1113" s="12"/>
      <c r="X1113" s="30"/>
      <c r="Y1113" s="30"/>
      <c r="Z1113" s="30"/>
      <c r="AA1113" s="30"/>
      <c r="AB1113" s="22"/>
      <c r="AC1113" s="22"/>
      <c r="AD1113" s="22"/>
      <c r="AE1113" s="22"/>
      <c r="AF1113" s="22"/>
      <c r="AG1113" s="22"/>
      <c r="AH1113" s="22"/>
      <c r="AI1113" s="12"/>
      <c r="AJ1113" s="90">
        <v>100</v>
      </c>
      <c r="AK1113" s="90">
        <v>2021</v>
      </c>
      <c r="AL1113" s="85">
        <v>599900</v>
      </c>
      <c r="AM1113" s="98"/>
    </row>
    <row r="1114" spans="1:39" ht="33">
      <c r="A1114" s="34" t="s">
        <v>919</v>
      </c>
      <c r="E1114" s="37" t="s">
        <v>903</v>
      </c>
      <c r="F1114" s="37"/>
      <c r="G1114" s="80" t="s">
        <v>401</v>
      </c>
      <c r="H1114" s="80" t="s">
        <v>188</v>
      </c>
      <c r="I1114" s="80" t="s">
        <v>108</v>
      </c>
      <c r="J1114" s="81" t="s">
        <v>186</v>
      </c>
      <c r="K1114" s="86" t="s">
        <v>676</v>
      </c>
      <c r="L1114" s="298">
        <f>SUM(M1114:Q1114)</f>
        <v>569581</v>
      </c>
      <c r="M1114" s="299"/>
      <c r="N1114" s="301">
        <v>569581</v>
      </c>
      <c r="O1114" s="339"/>
      <c r="P1114" s="339"/>
      <c r="Q1114" s="339"/>
      <c r="R1114" s="90"/>
      <c r="S1114" s="67"/>
      <c r="T1114" s="67"/>
      <c r="U1114" s="67">
        <v>569581</v>
      </c>
      <c r="V1114" s="12"/>
      <c r="W1114" s="12"/>
      <c r="X1114" s="30"/>
      <c r="Y1114" s="30"/>
      <c r="Z1114" s="30"/>
      <c r="AA1114" s="30"/>
      <c r="AB1114" s="22"/>
      <c r="AC1114" s="22"/>
      <c r="AD1114" s="22"/>
      <c r="AE1114" s="22"/>
      <c r="AF1114" s="22"/>
      <c r="AG1114" s="22"/>
      <c r="AH1114" s="22"/>
      <c r="AI1114" s="12"/>
      <c r="AJ1114" s="90">
        <v>100</v>
      </c>
      <c r="AK1114" s="90">
        <v>2021</v>
      </c>
      <c r="AL1114" s="85">
        <v>569581</v>
      </c>
      <c r="AM1114" s="98"/>
    </row>
    <row r="1115" spans="1:39" s="233" customFormat="1">
      <c r="A1115" s="193" t="s">
        <v>920</v>
      </c>
      <c r="B1115" s="234" t="s">
        <v>193</v>
      </c>
      <c r="C1115" s="234"/>
      <c r="D1115" s="234"/>
      <c r="E1115" s="225" t="s">
        <v>1225</v>
      </c>
      <c r="F1115" s="225"/>
      <c r="G1115" s="183" t="s">
        <v>173</v>
      </c>
      <c r="H1115" s="183"/>
      <c r="I1115" s="183"/>
      <c r="J1115" s="184" t="s">
        <v>174</v>
      </c>
      <c r="K1115" s="201"/>
      <c r="L1115" s="287">
        <f t="shared" ref="L1115" si="268">SUM(L1117:L1118)</f>
        <v>1136699</v>
      </c>
      <c r="M1115" s="288">
        <f>SUM(M1117:M1118)</f>
        <v>0</v>
      </c>
      <c r="N1115" s="289">
        <f>SUM(N1117:N1118)</f>
        <v>1136699</v>
      </c>
      <c r="O1115" s="289">
        <f t="shared" ref="O1115:P1115" si="269">SUM(O1117:O1118)</f>
        <v>0</v>
      </c>
      <c r="P1115" s="289">
        <f t="shared" si="269"/>
        <v>0</v>
      </c>
      <c r="Q1115" s="289">
        <f t="shared" ref="Q1115" si="270">SUM(Q1117:Q1118)</f>
        <v>0</v>
      </c>
      <c r="R1115" s="187">
        <f t="shared" ref="R1115:R1116" si="271">L1115-M1115-N1115-O1115-P1115-Q1115</f>
        <v>0</v>
      </c>
      <c r="S1115" s="187"/>
      <c r="T1115" s="187"/>
      <c r="U1115" s="187">
        <f>SUM(U1117:U1118)</f>
        <v>1136699</v>
      </c>
      <c r="V1115" s="187">
        <v>1136699</v>
      </c>
      <c r="W1115" s="231"/>
      <c r="X1115" s="239"/>
      <c r="Y1115" s="239"/>
      <c r="Z1115" s="239"/>
      <c r="AA1115" s="239"/>
      <c r="AB1115" s="191"/>
      <c r="AC1115" s="191"/>
      <c r="AD1115" s="191"/>
      <c r="AE1115" s="191"/>
      <c r="AF1115" s="191"/>
      <c r="AG1115" s="191"/>
      <c r="AH1115" s="191"/>
      <c r="AI1115" s="231"/>
      <c r="AJ1115" s="187"/>
      <c r="AK1115" s="237"/>
      <c r="AL1115" s="232"/>
      <c r="AM1115" s="237"/>
    </row>
    <row r="1116" spans="1:39" s="233" customFormat="1">
      <c r="A1116" s="193" t="s">
        <v>920</v>
      </c>
      <c r="B1116" s="234"/>
      <c r="C1116" s="234"/>
      <c r="D1116" s="234"/>
      <c r="E1116" s="225" t="s">
        <v>1225</v>
      </c>
      <c r="F1116" s="225"/>
      <c r="G1116" s="183" t="s">
        <v>175</v>
      </c>
      <c r="H1116" s="183"/>
      <c r="I1116" s="183"/>
      <c r="J1116" s="190" t="s">
        <v>174</v>
      </c>
      <c r="K1116" s="201"/>
      <c r="L1116" s="290"/>
      <c r="M1116" s="291"/>
      <c r="N1116" s="297"/>
      <c r="O1116" s="297"/>
      <c r="P1116" s="297"/>
      <c r="Q1116" s="297"/>
      <c r="R1116" s="187">
        <f t="shared" si="271"/>
        <v>0</v>
      </c>
      <c r="S1116" s="199"/>
      <c r="T1116" s="199"/>
      <c r="U1116" s="199"/>
      <c r="V1116" s="231"/>
      <c r="W1116" s="231"/>
      <c r="X1116" s="239"/>
      <c r="Y1116" s="239"/>
      <c r="Z1116" s="239"/>
      <c r="AA1116" s="239"/>
      <c r="AB1116" s="191"/>
      <c r="AC1116" s="191"/>
      <c r="AD1116" s="191"/>
      <c r="AE1116" s="191"/>
      <c r="AF1116" s="191"/>
      <c r="AG1116" s="191"/>
      <c r="AH1116" s="191"/>
      <c r="AI1116" s="231"/>
      <c r="AJ1116" s="199"/>
      <c r="AK1116" s="237"/>
      <c r="AL1116" s="232"/>
      <c r="AM1116" s="237"/>
    </row>
    <row r="1117" spans="1:39" ht="33">
      <c r="A1117" s="34" t="s">
        <v>920</v>
      </c>
      <c r="E1117" s="37" t="s">
        <v>904</v>
      </c>
      <c r="F1117" s="37"/>
      <c r="G1117" s="80" t="s">
        <v>233</v>
      </c>
      <c r="H1117" s="80" t="s">
        <v>188</v>
      </c>
      <c r="I1117" s="80" t="s">
        <v>108</v>
      </c>
      <c r="J1117" s="81" t="s">
        <v>186</v>
      </c>
      <c r="K1117" s="86" t="s">
        <v>234</v>
      </c>
      <c r="L1117" s="298">
        <f>SUM(M1117:Q1117)</f>
        <v>599999</v>
      </c>
      <c r="M1117" s="299"/>
      <c r="N1117" s="299">
        <v>599999</v>
      </c>
      <c r="O1117" s="339"/>
      <c r="P1117" s="339"/>
      <c r="Q1117" s="339"/>
      <c r="R1117" s="90"/>
      <c r="S1117" s="22"/>
      <c r="T1117" s="22"/>
      <c r="U1117" s="22">
        <v>599999</v>
      </c>
      <c r="V1117" s="12"/>
      <c r="W1117" s="12"/>
      <c r="X1117" s="30"/>
      <c r="Y1117" s="30"/>
      <c r="Z1117" s="30"/>
      <c r="AA1117" s="30"/>
      <c r="AB1117" s="22"/>
      <c r="AC1117" s="22"/>
      <c r="AD1117" s="22"/>
      <c r="AE1117" s="22"/>
      <c r="AF1117" s="22"/>
      <c r="AG1117" s="22"/>
      <c r="AH1117" s="22"/>
      <c r="AI1117" s="12"/>
      <c r="AJ1117" s="90">
        <v>100</v>
      </c>
      <c r="AK1117" s="78">
        <v>2021</v>
      </c>
      <c r="AL1117" s="85">
        <v>599999</v>
      </c>
      <c r="AM1117" s="85"/>
    </row>
    <row r="1118" spans="1:39" ht="33">
      <c r="A1118" s="34" t="s">
        <v>920</v>
      </c>
      <c r="E1118" s="37" t="s">
        <v>904</v>
      </c>
      <c r="F1118" s="37"/>
      <c r="G1118" s="80" t="s">
        <v>233</v>
      </c>
      <c r="H1118" s="80" t="s">
        <v>188</v>
      </c>
      <c r="I1118" s="80" t="s">
        <v>108</v>
      </c>
      <c r="J1118" s="81" t="s">
        <v>186</v>
      </c>
      <c r="K1118" s="86" t="s">
        <v>235</v>
      </c>
      <c r="L1118" s="298">
        <f>SUM(M1118:Q1118)</f>
        <v>536700</v>
      </c>
      <c r="M1118" s="299"/>
      <c r="N1118" s="299">
        <v>536700</v>
      </c>
      <c r="O1118" s="339"/>
      <c r="P1118" s="339"/>
      <c r="Q1118" s="339"/>
      <c r="R1118" s="90"/>
      <c r="S1118" s="22"/>
      <c r="T1118" s="22"/>
      <c r="U1118" s="22">
        <v>536700</v>
      </c>
      <c r="V1118" s="12"/>
      <c r="W1118" s="12"/>
      <c r="X1118" s="30"/>
      <c r="Y1118" s="30"/>
      <c r="Z1118" s="30"/>
      <c r="AA1118" s="30"/>
      <c r="AB1118" s="22"/>
      <c r="AC1118" s="22"/>
      <c r="AD1118" s="22"/>
      <c r="AE1118" s="22"/>
      <c r="AF1118" s="22"/>
      <c r="AG1118" s="22"/>
      <c r="AH1118" s="22"/>
      <c r="AI1118" s="12"/>
      <c r="AJ1118" s="90">
        <v>100</v>
      </c>
      <c r="AK1118" s="78">
        <v>2021</v>
      </c>
      <c r="AL1118" s="85">
        <v>536700</v>
      </c>
      <c r="AM1118" s="85"/>
    </row>
    <row r="1119" spans="1:39" s="233" customFormat="1">
      <c r="A1119" s="193" t="s">
        <v>921</v>
      </c>
      <c r="B1119" s="234" t="s">
        <v>193</v>
      </c>
      <c r="C1119" s="234"/>
      <c r="D1119" s="234"/>
      <c r="E1119" s="225" t="s">
        <v>1225</v>
      </c>
      <c r="F1119" s="225"/>
      <c r="G1119" s="183" t="s">
        <v>176</v>
      </c>
      <c r="H1119" s="183"/>
      <c r="I1119" s="183"/>
      <c r="J1119" s="184" t="s">
        <v>177</v>
      </c>
      <c r="K1119" s="201"/>
      <c r="L1119" s="287">
        <f t="shared" ref="L1119" si="272">SUM(L1121:L1124)</f>
        <v>4794466</v>
      </c>
      <c r="M1119" s="288">
        <f>SUM(M1121:M1124)</f>
        <v>2997679</v>
      </c>
      <c r="N1119" s="289">
        <f>SUM(N1121:N1124)</f>
        <v>1796787</v>
      </c>
      <c r="O1119" s="289">
        <f t="shared" ref="O1119:P1119" si="273">SUM(O1121:O1124)</f>
        <v>0</v>
      </c>
      <c r="P1119" s="289">
        <f t="shared" si="273"/>
        <v>0</v>
      </c>
      <c r="Q1119" s="289">
        <f t="shared" ref="Q1119" si="274">SUM(Q1121:Q1124)</f>
        <v>0</v>
      </c>
      <c r="R1119" s="187">
        <f t="shared" ref="R1119:R1120" si="275">L1119-M1119-N1119-O1119-P1119-Q1119</f>
        <v>0</v>
      </c>
      <c r="S1119" s="187"/>
      <c r="T1119" s="187"/>
      <c r="U1119" s="187">
        <f>SUM(U1121:U1124)</f>
        <v>1796787</v>
      </c>
      <c r="V1119" s="187">
        <v>1796787</v>
      </c>
      <c r="W1119" s="231"/>
      <c r="X1119" s="239"/>
      <c r="Y1119" s="239"/>
      <c r="Z1119" s="239"/>
      <c r="AA1119" s="239"/>
      <c r="AB1119" s="191"/>
      <c r="AC1119" s="191"/>
      <c r="AD1119" s="191"/>
      <c r="AE1119" s="191"/>
      <c r="AF1119" s="191"/>
      <c r="AG1119" s="191"/>
      <c r="AH1119" s="191"/>
      <c r="AI1119" s="231"/>
      <c r="AJ1119" s="187"/>
      <c r="AK1119" s="237"/>
      <c r="AL1119" s="232"/>
      <c r="AM1119" s="237"/>
    </row>
    <row r="1120" spans="1:39" s="233" customFormat="1">
      <c r="A1120" s="193" t="s">
        <v>921</v>
      </c>
      <c r="B1120" s="234"/>
      <c r="C1120" s="234"/>
      <c r="D1120" s="234"/>
      <c r="E1120" s="225" t="s">
        <v>1225</v>
      </c>
      <c r="F1120" s="225"/>
      <c r="G1120" s="183" t="s">
        <v>178</v>
      </c>
      <c r="H1120" s="183"/>
      <c r="I1120" s="183"/>
      <c r="J1120" s="190" t="s">
        <v>177</v>
      </c>
      <c r="K1120" s="201"/>
      <c r="L1120" s="290"/>
      <c r="M1120" s="291"/>
      <c r="N1120" s="297"/>
      <c r="O1120" s="297"/>
      <c r="P1120" s="297"/>
      <c r="Q1120" s="297"/>
      <c r="R1120" s="187">
        <f t="shared" si="275"/>
        <v>0</v>
      </c>
      <c r="S1120" s="199"/>
      <c r="T1120" s="199"/>
      <c r="U1120" s="199"/>
      <c r="V1120" s="231"/>
      <c r="W1120" s="231"/>
      <c r="X1120" s="239"/>
      <c r="Y1120" s="239"/>
      <c r="Z1120" s="239"/>
      <c r="AA1120" s="239"/>
      <c r="AB1120" s="191"/>
      <c r="AC1120" s="191"/>
      <c r="AD1120" s="191"/>
      <c r="AE1120" s="191"/>
      <c r="AF1120" s="191"/>
      <c r="AG1120" s="191"/>
      <c r="AH1120" s="191"/>
      <c r="AI1120" s="231"/>
      <c r="AJ1120" s="199"/>
      <c r="AK1120" s="237"/>
      <c r="AL1120" s="232"/>
      <c r="AM1120" s="237"/>
    </row>
    <row r="1121" spans="1:39" ht="33">
      <c r="A1121" s="34" t="s">
        <v>921</v>
      </c>
      <c r="E1121" s="37" t="s">
        <v>905</v>
      </c>
      <c r="F1121" s="37"/>
      <c r="G1121" s="80" t="s">
        <v>236</v>
      </c>
      <c r="H1121" s="80" t="s">
        <v>188</v>
      </c>
      <c r="I1121" s="80" t="s">
        <v>108</v>
      </c>
      <c r="J1121" s="81" t="s">
        <v>186</v>
      </c>
      <c r="K1121" s="86" t="s">
        <v>237</v>
      </c>
      <c r="L1121" s="298">
        <f>SUM(M1121:Q1121)</f>
        <v>596800</v>
      </c>
      <c r="M1121" s="299"/>
      <c r="N1121" s="299">
        <v>596800</v>
      </c>
      <c r="O1121" s="339"/>
      <c r="P1121" s="339"/>
      <c r="Q1121" s="339"/>
      <c r="R1121" s="90"/>
      <c r="S1121" s="22"/>
      <c r="T1121" s="22"/>
      <c r="U1121" s="22">
        <v>596800</v>
      </c>
      <c r="V1121" s="12"/>
      <c r="W1121" s="12"/>
      <c r="X1121" s="30"/>
      <c r="Y1121" s="30"/>
      <c r="Z1121" s="30"/>
      <c r="AA1121" s="30"/>
      <c r="AB1121" s="22"/>
      <c r="AC1121" s="22"/>
      <c r="AD1121" s="22"/>
      <c r="AE1121" s="22"/>
      <c r="AF1121" s="22"/>
      <c r="AG1121" s="22"/>
      <c r="AH1121" s="22"/>
      <c r="AI1121" s="12"/>
      <c r="AJ1121" s="90">
        <v>100</v>
      </c>
      <c r="AK1121" s="90">
        <v>2021</v>
      </c>
      <c r="AL1121" s="85">
        <v>596800</v>
      </c>
      <c r="AM1121" s="85"/>
    </row>
    <row r="1122" spans="1:39" s="47" customFormat="1" ht="33">
      <c r="A1122" s="72" t="s">
        <v>921</v>
      </c>
      <c r="B1122" s="32"/>
      <c r="C1122" s="32"/>
      <c r="D1122" s="32"/>
      <c r="E1122" s="37"/>
      <c r="F1122" s="37"/>
      <c r="G1122" s="80" t="s">
        <v>1018</v>
      </c>
      <c r="H1122" s="80" t="s">
        <v>1008</v>
      </c>
      <c r="I1122" s="80" t="s">
        <v>1009</v>
      </c>
      <c r="J1122" s="81" t="s">
        <v>1007</v>
      </c>
      <c r="K1122" s="86" t="s">
        <v>252</v>
      </c>
      <c r="L1122" s="298">
        <f>SUM(M1122:Q1122)</f>
        <v>2997679</v>
      </c>
      <c r="M1122" s="299">
        <v>2997679</v>
      </c>
      <c r="N1122" s="299"/>
      <c r="O1122" s="339"/>
      <c r="P1122" s="339"/>
      <c r="Q1122" s="339"/>
      <c r="R1122" s="90"/>
      <c r="S1122" s="22"/>
      <c r="T1122" s="22"/>
      <c r="U1122" s="22"/>
      <c r="V1122" s="57"/>
      <c r="W1122" s="57"/>
      <c r="X1122" s="30"/>
      <c r="Y1122" s="30"/>
      <c r="Z1122" s="30"/>
      <c r="AA1122" s="30"/>
      <c r="AB1122" s="22"/>
      <c r="AC1122" s="22"/>
      <c r="AD1122" s="22"/>
      <c r="AE1122" s="22"/>
      <c r="AF1122" s="22"/>
      <c r="AG1122" s="22"/>
      <c r="AH1122" s="22"/>
      <c r="AI1122" s="57"/>
      <c r="AJ1122" s="90">
        <v>100</v>
      </c>
      <c r="AK1122" s="90">
        <v>2021</v>
      </c>
      <c r="AL1122" s="85">
        <v>2997679</v>
      </c>
      <c r="AM1122" s="85"/>
    </row>
    <row r="1123" spans="1:39" ht="33">
      <c r="A1123" s="34" t="s">
        <v>921</v>
      </c>
      <c r="E1123" s="37" t="s">
        <v>905</v>
      </c>
      <c r="F1123" s="37"/>
      <c r="G1123" s="80" t="s">
        <v>236</v>
      </c>
      <c r="H1123" s="80" t="s">
        <v>188</v>
      </c>
      <c r="I1123" s="80" t="s">
        <v>108</v>
      </c>
      <c r="J1123" s="81" t="s">
        <v>186</v>
      </c>
      <c r="K1123" s="86" t="s">
        <v>958</v>
      </c>
      <c r="L1123" s="298">
        <f>SUM(M1123:Q1123)</f>
        <v>599999</v>
      </c>
      <c r="M1123" s="299"/>
      <c r="N1123" s="299">
        <v>599999</v>
      </c>
      <c r="O1123" s="339"/>
      <c r="P1123" s="339"/>
      <c r="Q1123" s="339"/>
      <c r="R1123" s="90"/>
      <c r="S1123" s="22"/>
      <c r="T1123" s="22"/>
      <c r="U1123" s="22">
        <v>599999</v>
      </c>
      <c r="V1123" s="12"/>
      <c r="W1123" s="12"/>
      <c r="X1123" s="30"/>
      <c r="Y1123" s="30"/>
      <c r="Z1123" s="30"/>
      <c r="AA1123" s="30"/>
      <c r="AB1123" s="22"/>
      <c r="AC1123" s="22"/>
      <c r="AD1123" s="22"/>
      <c r="AE1123" s="22"/>
      <c r="AF1123" s="22"/>
      <c r="AG1123" s="22"/>
      <c r="AH1123" s="22"/>
      <c r="AI1123" s="12"/>
      <c r="AJ1123" s="90">
        <v>100</v>
      </c>
      <c r="AK1123" s="90">
        <v>2021</v>
      </c>
      <c r="AL1123" s="85">
        <v>599999</v>
      </c>
      <c r="AM1123" s="85"/>
    </row>
    <row r="1124" spans="1:39" ht="49.5">
      <c r="A1124" s="34" t="s">
        <v>921</v>
      </c>
      <c r="E1124" s="37" t="s">
        <v>905</v>
      </c>
      <c r="F1124" s="37"/>
      <c r="G1124" s="80" t="s">
        <v>236</v>
      </c>
      <c r="H1124" s="80" t="s">
        <v>188</v>
      </c>
      <c r="I1124" s="80" t="s">
        <v>108</v>
      </c>
      <c r="J1124" s="81" t="s">
        <v>186</v>
      </c>
      <c r="K1124" s="86" t="s">
        <v>344</v>
      </c>
      <c r="L1124" s="298">
        <f>SUM(M1124:Q1124)</f>
        <v>599988</v>
      </c>
      <c r="M1124" s="299"/>
      <c r="N1124" s="299">
        <v>599988</v>
      </c>
      <c r="O1124" s="339"/>
      <c r="P1124" s="339"/>
      <c r="Q1124" s="339"/>
      <c r="R1124" s="90"/>
      <c r="S1124" s="22"/>
      <c r="T1124" s="22"/>
      <c r="U1124" s="22">
        <v>599988</v>
      </c>
      <c r="V1124" s="24"/>
      <c r="W1124" s="12"/>
      <c r="X1124" s="30"/>
      <c r="Y1124" s="30"/>
      <c r="Z1124" s="30"/>
      <c r="AA1124" s="30"/>
      <c r="AB1124" s="22"/>
      <c r="AC1124" s="22"/>
      <c r="AD1124" s="22"/>
      <c r="AE1124" s="22"/>
      <c r="AF1124" s="22"/>
      <c r="AG1124" s="22"/>
      <c r="AH1124" s="22"/>
      <c r="AI1124" s="12"/>
      <c r="AJ1124" s="90">
        <v>100</v>
      </c>
      <c r="AK1124" s="90">
        <v>2021</v>
      </c>
      <c r="AL1124" s="85">
        <v>599988</v>
      </c>
      <c r="AM1124" s="85"/>
    </row>
    <row r="1125" spans="1:39" s="233" customFormat="1">
      <c r="A1125" s="193" t="s">
        <v>922</v>
      </c>
      <c r="B1125" s="234" t="s">
        <v>193</v>
      </c>
      <c r="C1125" s="234"/>
      <c r="D1125" s="234"/>
      <c r="E1125" s="225" t="s">
        <v>1225</v>
      </c>
      <c r="F1125" s="225"/>
      <c r="G1125" s="183" t="s">
        <v>179</v>
      </c>
      <c r="H1125" s="183"/>
      <c r="I1125" s="183"/>
      <c r="J1125" s="184" t="s">
        <v>180</v>
      </c>
      <c r="K1125" s="201"/>
      <c r="L1125" s="287">
        <f t="shared" ref="L1125" si="276">SUM(L1127:L1129)</f>
        <v>1752902</v>
      </c>
      <c r="M1125" s="288">
        <f>SUM(M1127:M1129)</f>
        <v>0</v>
      </c>
      <c r="N1125" s="289">
        <f>SUM(N1127:N1129)</f>
        <v>1752902</v>
      </c>
      <c r="O1125" s="289">
        <f t="shared" ref="O1125:P1125" si="277">SUM(O1127:O1129)</f>
        <v>0</v>
      </c>
      <c r="P1125" s="289">
        <f t="shared" si="277"/>
        <v>0</v>
      </c>
      <c r="Q1125" s="289">
        <f t="shared" ref="Q1125" si="278">SUM(Q1127:Q1129)</f>
        <v>0</v>
      </c>
      <c r="R1125" s="187">
        <f t="shared" ref="R1125:R1126" si="279">L1125-M1125-N1125-O1125-P1125-Q1125</f>
        <v>0</v>
      </c>
      <c r="S1125" s="187"/>
      <c r="T1125" s="187"/>
      <c r="U1125" s="187">
        <f>SUM(U1127:U1129)</f>
        <v>1752902</v>
      </c>
      <c r="V1125" s="187">
        <v>1752902</v>
      </c>
      <c r="W1125" s="231"/>
      <c r="X1125" s="239"/>
      <c r="Y1125" s="239"/>
      <c r="Z1125" s="239"/>
      <c r="AA1125" s="239"/>
      <c r="AB1125" s="191"/>
      <c r="AC1125" s="191"/>
      <c r="AD1125" s="191"/>
      <c r="AE1125" s="191"/>
      <c r="AF1125" s="191"/>
      <c r="AG1125" s="191"/>
      <c r="AH1125" s="191"/>
      <c r="AI1125" s="231"/>
      <c r="AJ1125" s="187"/>
      <c r="AK1125" s="237"/>
      <c r="AL1125" s="232"/>
      <c r="AM1125" s="237"/>
    </row>
    <row r="1126" spans="1:39" s="233" customFormat="1">
      <c r="A1126" s="193" t="s">
        <v>922</v>
      </c>
      <c r="B1126" s="234"/>
      <c r="C1126" s="234"/>
      <c r="D1126" s="234"/>
      <c r="E1126" s="225" t="s">
        <v>1225</v>
      </c>
      <c r="F1126" s="225"/>
      <c r="G1126" s="183" t="s">
        <v>181</v>
      </c>
      <c r="H1126" s="183"/>
      <c r="I1126" s="183"/>
      <c r="J1126" s="190" t="s">
        <v>180</v>
      </c>
      <c r="K1126" s="201"/>
      <c r="L1126" s="290"/>
      <c r="M1126" s="291"/>
      <c r="N1126" s="297"/>
      <c r="O1126" s="297"/>
      <c r="P1126" s="297"/>
      <c r="Q1126" s="297"/>
      <c r="R1126" s="187">
        <f t="shared" si="279"/>
        <v>0</v>
      </c>
      <c r="S1126" s="199"/>
      <c r="T1126" s="199"/>
      <c r="U1126" s="199"/>
      <c r="V1126" s="231"/>
      <c r="W1126" s="231"/>
      <c r="X1126" s="239"/>
      <c r="Y1126" s="239"/>
      <c r="Z1126" s="239"/>
      <c r="AA1126" s="239"/>
      <c r="AB1126" s="191"/>
      <c r="AC1126" s="191"/>
      <c r="AD1126" s="191"/>
      <c r="AE1126" s="191"/>
      <c r="AF1126" s="191"/>
      <c r="AG1126" s="191"/>
      <c r="AH1126" s="191"/>
      <c r="AI1126" s="231"/>
      <c r="AJ1126" s="199"/>
      <c r="AK1126" s="237"/>
      <c r="AL1126" s="232"/>
      <c r="AM1126" s="237"/>
    </row>
    <row r="1127" spans="1:39" ht="49.5">
      <c r="A1127" s="34" t="s">
        <v>922</v>
      </c>
      <c r="E1127" s="37" t="s">
        <v>906</v>
      </c>
      <c r="F1127" s="37"/>
      <c r="G1127" s="169" t="s">
        <v>1019</v>
      </c>
      <c r="H1127" s="169" t="s">
        <v>1008</v>
      </c>
      <c r="I1127" s="169" t="s">
        <v>1009</v>
      </c>
      <c r="J1127" s="161" t="s">
        <v>1007</v>
      </c>
      <c r="K1127" s="82" t="s">
        <v>1025</v>
      </c>
      <c r="L1127" s="298">
        <f>SUM(M1127:Q1127)</f>
        <v>599000</v>
      </c>
      <c r="M1127" s="299"/>
      <c r="N1127" s="301">
        <v>599000</v>
      </c>
      <c r="O1127" s="339"/>
      <c r="P1127" s="339"/>
      <c r="Q1127" s="339"/>
      <c r="R1127" s="90"/>
      <c r="S1127" s="67"/>
      <c r="T1127" s="67"/>
      <c r="U1127" s="67">
        <v>599000</v>
      </c>
      <c r="V1127" s="12"/>
      <c r="W1127" s="12"/>
      <c r="X1127" s="30"/>
      <c r="Y1127" s="30"/>
      <c r="Z1127" s="30"/>
      <c r="AA1127" s="30"/>
      <c r="AB1127" s="22"/>
      <c r="AC1127" s="22"/>
      <c r="AD1127" s="22"/>
      <c r="AE1127" s="22"/>
      <c r="AF1127" s="22"/>
      <c r="AG1127" s="22"/>
      <c r="AH1127" s="22"/>
      <c r="AI1127" s="12"/>
      <c r="AJ1127" s="90">
        <v>100</v>
      </c>
      <c r="AK1127" s="90">
        <v>2021</v>
      </c>
      <c r="AL1127" s="85">
        <v>599000</v>
      </c>
      <c r="AM1127" s="98"/>
    </row>
    <row r="1128" spans="1:39" ht="33">
      <c r="A1128" s="34" t="s">
        <v>922</v>
      </c>
      <c r="E1128" s="37" t="s">
        <v>906</v>
      </c>
      <c r="F1128" s="37"/>
      <c r="G1128" s="169" t="s">
        <v>1019</v>
      </c>
      <c r="H1128" s="169" t="s">
        <v>1008</v>
      </c>
      <c r="I1128" s="169" t="s">
        <v>1009</v>
      </c>
      <c r="J1128" s="161" t="s">
        <v>1007</v>
      </c>
      <c r="K1128" s="82" t="s">
        <v>239</v>
      </c>
      <c r="L1128" s="298">
        <f>SUM(M1128:Q1128)</f>
        <v>554490</v>
      </c>
      <c r="M1128" s="299"/>
      <c r="N1128" s="301">
        <v>554490</v>
      </c>
      <c r="O1128" s="339"/>
      <c r="P1128" s="339"/>
      <c r="Q1128" s="339"/>
      <c r="R1128" s="90"/>
      <c r="S1128" s="67"/>
      <c r="T1128" s="67"/>
      <c r="U1128" s="67">
        <v>554490</v>
      </c>
      <c r="V1128" s="12"/>
      <c r="W1128" s="12"/>
      <c r="X1128" s="30"/>
      <c r="Y1128" s="30"/>
      <c r="Z1128" s="30"/>
      <c r="AA1128" s="30"/>
      <c r="AB1128" s="22"/>
      <c r="AC1128" s="22"/>
      <c r="AD1128" s="22"/>
      <c r="AE1128" s="22"/>
      <c r="AF1128" s="22"/>
      <c r="AG1128" s="22"/>
      <c r="AH1128" s="22"/>
      <c r="AI1128" s="12"/>
      <c r="AJ1128" s="90">
        <v>100</v>
      </c>
      <c r="AK1128" s="90">
        <v>2021</v>
      </c>
      <c r="AL1128" s="85">
        <v>554490</v>
      </c>
      <c r="AM1128" s="98"/>
    </row>
    <row r="1129" spans="1:39" ht="33">
      <c r="A1129" s="34" t="s">
        <v>922</v>
      </c>
      <c r="E1129" s="37" t="s">
        <v>906</v>
      </c>
      <c r="F1129" s="37"/>
      <c r="G1129" s="93" t="s">
        <v>238</v>
      </c>
      <c r="H1129" s="93" t="s">
        <v>188</v>
      </c>
      <c r="I1129" s="93" t="s">
        <v>108</v>
      </c>
      <c r="J1129" s="89" t="s">
        <v>186</v>
      </c>
      <c r="K1129" s="82" t="s">
        <v>240</v>
      </c>
      <c r="L1129" s="298">
        <f>SUM(M1129:Q1129)</f>
        <v>599412</v>
      </c>
      <c r="M1129" s="299"/>
      <c r="N1129" s="301">
        <v>599412</v>
      </c>
      <c r="O1129" s="339"/>
      <c r="P1129" s="339"/>
      <c r="Q1129" s="339"/>
      <c r="R1129" s="90"/>
      <c r="S1129" s="67"/>
      <c r="T1129" s="67"/>
      <c r="U1129" s="67">
        <v>599412</v>
      </c>
      <c r="V1129" s="12"/>
      <c r="W1129" s="12"/>
      <c r="X1129" s="30"/>
      <c r="Y1129" s="30"/>
      <c r="Z1129" s="30"/>
      <c r="AA1129" s="30"/>
      <c r="AB1129" s="22"/>
      <c r="AC1129" s="22"/>
      <c r="AD1129" s="22"/>
      <c r="AE1129" s="22"/>
      <c r="AF1129" s="22"/>
      <c r="AG1129" s="22"/>
      <c r="AH1129" s="22"/>
      <c r="AI1129" s="12"/>
      <c r="AJ1129" s="90">
        <v>100</v>
      </c>
      <c r="AK1129" s="90">
        <v>2021</v>
      </c>
      <c r="AL1129" s="85">
        <v>599412</v>
      </c>
      <c r="AM1129" s="98"/>
    </row>
    <row r="1130" spans="1:39" s="233" customFormat="1" ht="49.5">
      <c r="A1130" s="193" t="s">
        <v>923</v>
      </c>
      <c r="B1130" s="181" t="s">
        <v>193</v>
      </c>
      <c r="C1130" s="181"/>
      <c r="D1130" s="181"/>
      <c r="E1130" s="182" t="s">
        <v>1225</v>
      </c>
      <c r="F1130" s="182"/>
      <c r="G1130" s="240"/>
      <c r="H1130" s="241"/>
      <c r="I1130" s="241"/>
      <c r="J1130" s="242" t="s">
        <v>185</v>
      </c>
      <c r="K1130" s="237"/>
      <c r="L1130" s="287"/>
      <c r="M1130" s="288"/>
      <c r="N1130" s="288"/>
      <c r="O1130" s="288"/>
      <c r="P1130" s="288"/>
      <c r="Q1130" s="288"/>
      <c r="R1130" s="187">
        <f t="shared" ref="R1130:R1132" si="280">L1130-M1130-N1130-O1130-P1130-Q1130</f>
        <v>0</v>
      </c>
      <c r="S1130" s="186"/>
      <c r="T1130" s="186"/>
      <c r="U1130" s="186"/>
      <c r="V1130" s="243"/>
      <c r="W1130" s="186"/>
      <c r="X1130" s="186"/>
      <c r="Y1130" s="186"/>
      <c r="Z1130" s="186"/>
      <c r="AA1130" s="186"/>
      <c r="AB1130" s="186"/>
      <c r="AC1130" s="186"/>
      <c r="AD1130" s="186"/>
      <c r="AE1130" s="186"/>
      <c r="AF1130" s="186"/>
      <c r="AG1130" s="186"/>
      <c r="AH1130" s="186"/>
      <c r="AI1130" s="231"/>
      <c r="AJ1130" s="186"/>
      <c r="AK1130" s="232"/>
      <c r="AL1130" s="232"/>
      <c r="AM1130" s="232"/>
    </row>
    <row r="1131" spans="1:39" s="245" customFormat="1" ht="33">
      <c r="A1131" s="193" t="s">
        <v>923</v>
      </c>
      <c r="B1131" s="181" t="s">
        <v>193</v>
      </c>
      <c r="C1131" s="181"/>
      <c r="D1131" s="181"/>
      <c r="E1131" s="182" t="s">
        <v>1225</v>
      </c>
      <c r="F1131" s="182"/>
      <c r="G1131" s="184">
        <v>1200000</v>
      </c>
      <c r="H1131" s="184"/>
      <c r="I1131" s="184"/>
      <c r="J1131" s="184" t="s">
        <v>66</v>
      </c>
      <c r="K1131" s="190"/>
      <c r="L1131" s="287">
        <f t="shared" ref="L1131:Q1131" si="281">SUM(L1133:L1151)</f>
        <v>314390422.11000001</v>
      </c>
      <c r="M1131" s="288">
        <f t="shared" si="281"/>
        <v>314390422.11000001</v>
      </c>
      <c r="N1131" s="289">
        <f t="shared" si="281"/>
        <v>0</v>
      </c>
      <c r="O1131" s="289">
        <f t="shared" si="281"/>
        <v>0</v>
      </c>
      <c r="P1131" s="289">
        <f t="shared" si="281"/>
        <v>0</v>
      </c>
      <c r="Q1131" s="289">
        <f t="shared" si="281"/>
        <v>0</v>
      </c>
      <c r="R1131" s="187">
        <f t="shared" si="280"/>
        <v>0</v>
      </c>
      <c r="S1131" s="187"/>
      <c r="T1131" s="187"/>
      <c r="U1131" s="187">
        <f>SUM(U1133:U1151)</f>
        <v>305690422.11000001</v>
      </c>
      <c r="V1131" s="194"/>
      <c r="W1131" s="187"/>
      <c r="X1131" s="187"/>
      <c r="Y1131" s="187"/>
      <c r="Z1131" s="187"/>
      <c r="AA1131" s="187"/>
      <c r="AB1131" s="187"/>
      <c r="AC1131" s="187"/>
      <c r="AD1131" s="187"/>
      <c r="AE1131" s="187"/>
      <c r="AF1131" s="187"/>
      <c r="AG1131" s="187"/>
      <c r="AH1131" s="187"/>
      <c r="AI1131" s="244"/>
      <c r="AJ1131" s="187"/>
      <c r="AK1131" s="185"/>
      <c r="AL1131" s="196"/>
      <c r="AM1131" s="197"/>
    </row>
    <row r="1132" spans="1:39" s="245" customFormat="1" ht="33">
      <c r="A1132" s="193" t="s">
        <v>923</v>
      </c>
      <c r="B1132" s="246"/>
      <c r="C1132" s="246"/>
      <c r="D1132" s="246"/>
      <c r="E1132" s="247" t="s">
        <v>1225</v>
      </c>
      <c r="F1132" s="247"/>
      <c r="G1132" s="184">
        <v>1210000</v>
      </c>
      <c r="H1132" s="184"/>
      <c r="I1132" s="219"/>
      <c r="J1132" s="190" t="s">
        <v>66</v>
      </c>
      <c r="K1132" s="201"/>
      <c r="L1132" s="290"/>
      <c r="M1132" s="291"/>
      <c r="N1132" s="297"/>
      <c r="O1132" s="297"/>
      <c r="P1132" s="297"/>
      <c r="Q1132" s="297"/>
      <c r="R1132" s="187">
        <f t="shared" si="280"/>
        <v>0</v>
      </c>
      <c r="S1132" s="199"/>
      <c r="T1132" s="199"/>
      <c r="U1132" s="199"/>
      <c r="V1132" s="200"/>
      <c r="W1132" s="199"/>
      <c r="X1132" s="199"/>
      <c r="Y1132" s="199"/>
      <c r="Z1132" s="199"/>
      <c r="AA1132" s="199"/>
      <c r="AB1132" s="199"/>
      <c r="AC1132" s="199"/>
      <c r="AD1132" s="199"/>
      <c r="AE1132" s="199"/>
      <c r="AF1132" s="199"/>
      <c r="AG1132" s="199"/>
      <c r="AH1132" s="199"/>
      <c r="AI1132" s="244"/>
      <c r="AJ1132" s="199"/>
      <c r="AK1132" s="185"/>
      <c r="AL1132" s="197"/>
      <c r="AM1132" s="197"/>
    </row>
    <row r="1133" spans="1:39" ht="33">
      <c r="A1133" s="72" t="s">
        <v>923</v>
      </c>
      <c r="E1133" s="37" t="s">
        <v>902</v>
      </c>
      <c r="F1133" s="37"/>
      <c r="G1133" s="163" t="s">
        <v>1010</v>
      </c>
      <c r="H1133" s="163" t="s">
        <v>1008</v>
      </c>
      <c r="I1133" s="163" t="s">
        <v>1009</v>
      </c>
      <c r="J1133" s="125" t="s">
        <v>1007</v>
      </c>
      <c r="K1133" s="155" t="s">
        <v>1172</v>
      </c>
      <c r="L1133" s="179">
        <f t="shared" ref="L1133:L1151" si="282">SUM(M1133:Q1133)</f>
        <v>8360422.1100000003</v>
      </c>
      <c r="M1133" s="323">
        <v>8360422.1100000003</v>
      </c>
      <c r="N1133" s="345"/>
      <c r="O1133" s="301"/>
      <c r="P1133" s="301"/>
      <c r="Q1133" s="301"/>
      <c r="R1133" s="67"/>
      <c r="S1133" s="67"/>
      <c r="T1133" s="67"/>
      <c r="U1133" s="67">
        <v>8360422.1100000003</v>
      </c>
      <c r="V1133" s="12"/>
      <c r="W1133" s="12"/>
      <c r="X1133" s="30"/>
      <c r="Y1133" s="30"/>
      <c r="Z1133" s="30"/>
      <c r="AA1133" s="30"/>
      <c r="AB1133" s="22"/>
      <c r="AC1133" s="22"/>
      <c r="AD1133" s="22"/>
      <c r="AE1133" s="22"/>
      <c r="AF1133" s="22"/>
      <c r="AG1133" s="22"/>
      <c r="AH1133" s="22"/>
      <c r="AI1133" s="12"/>
      <c r="AJ1133" s="178">
        <v>93.036213208779543</v>
      </c>
      <c r="AK1133" s="162" t="s">
        <v>271</v>
      </c>
      <c r="AL1133" s="70">
        <v>46707101</v>
      </c>
      <c r="AM1133" s="178">
        <v>75.136532387227376</v>
      </c>
    </row>
    <row r="1134" spans="1:39" ht="33">
      <c r="A1134" s="72" t="s">
        <v>923</v>
      </c>
      <c r="E1134" s="37" t="s">
        <v>902</v>
      </c>
      <c r="F1134" s="37"/>
      <c r="G1134" s="163" t="s">
        <v>1010</v>
      </c>
      <c r="H1134" s="163" t="s">
        <v>1008</v>
      </c>
      <c r="I1134" s="163" t="s">
        <v>1009</v>
      </c>
      <c r="J1134" s="125" t="s">
        <v>1007</v>
      </c>
      <c r="K1134" s="155" t="s">
        <v>746</v>
      </c>
      <c r="L1134" s="179">
        <f t="shared" si="282"/>
        <v>950000</v>
      </c>
      <c r="M1134" s="323">
        <v>950000</v>
      </c>
      <c r="N1134" s="345"/>
      <c r="O1134" s="301"/>
      <c r="P1134" s="301"/>
      <c r="Q1134" s="301"/>
      <c r="R1134" s="67"/>
      <c r="S1134" s="67"/>
      <c r="T1134" s="67"/>
      <c r="U1134" s="67">
        <v>950000</v>
      </c>
      <c r="V1134" s="12"/>
      <c r="W1134" s="12"/>
      <c r="X1134" s="30"/>
      <c r="Y1134" s="30"/>
      <c r="Z1134" s="30"/>
      <c r="AA1134" s="30"/>
      <c r="AB1134" s="22"/>
      <c r="AC1134" s="22"/>
      <c r="AD1134" s="22"/>
      <c r="AE1134" s="22"/>
      <c r="AF1134" s="22"/>
      <c r="AG1134" s="22"/>
      <c r="AH1134" s="22"/>
      <c r="AI1134" s="12"/>
      <c r="AJ1134" s="178">
        <v>100.16039423205825</v>
      </c>
      <c r="AK1134" s="162" t="s">
        <v>271</v>
      </c>
      <c r="AL1134" s="70">
        <v>72468485</v>
      </c>
      <c r="AM1134" s="178">
        <v>98.849479563426769</v>
      </c>
    </row>
    <row r="1135" spans="1:39" ht="33">
      <c r="A1135" s="72" t="s">
        <v>923</v>
      </c>
      <c r="E1135" s="37" t="s">
        <v>905</v>
      </c>
      <c r="F1135" s="37"/>
      <c r="G1135" s="163" t="s">
        <v>1010</v>
      </c>
      <c r="H1135" s="163" t="s">
        <v>1008</v>
      </c>
      <c r="I1135" s="163" t="s">
        <v>1009</v>
      </c>
      <c r="J1135" s="125" t="s">
        <v>1007</v>
      </c>
      <c r="K1135" s="155" t="s">
        <v>939</v>
      </c>
      <c r="L1135" s="179">
        <f t="shared" si="282"/>
        <v>5000000</v>
      </c>
      <c r="M1135" s="323">
        <v>5000000</v>
      </c>
      <c r="N1135" s="345"/>
      <c r="O1135" s="301"/>
      <c r="P1135" s="301"/>
      <c r="Q1135" s="301"/>
      <c r="R1135" s="67"/>
      <c r="S1135" s="67"/>
      <c r="T1135" s="67"/>
      <c r="U1135" s="67">
        <v>5000000</v>
      </c>
      <c r="V1135" s="12"/>
      <c r="W1135" s="12"/>
      <c r="X1135" s="30"/>
      <c r="Y1135" s="30"/>
      <c r="Z1135" s="30"/>
      <c r="AA1135" s="30"/>
      <c r="AB1135" s="22"/>
      <c r="AC1135" s="22"/>
      <c r="AD1135" s="22"/>
      <c r="AE1135" s="22"/>
      <c r="AF1135" s="22"/>
      <c r="AG1135" s="22"/>
      <c r="AH1135" s="22"/>
      <c r="AI1135" s="12"/>
      <c r="AJ1135" s="178">
        <v>95.847444412062586</v>
      </c>
      <c r="AK1135" s="162" t="s">
        <v>346</v>
      </c>
      <c r="AL1135" s="70">
        <v>116622244</v>
      </c>
      <c r="AM1135" s="178">
        <v>91.560097651696708</v>
      </c>
    </row>
    <row r="1136" spans="1:39" ht="49.5">
      <c r="A1136" s="72" t="s">
        <v>923</v>
      </c>
      <c r="E1136" s="37" t="s">
        <v>905</v>
      </c>
      <c r="F1136" s="37"/>
      <c r="G1136" s="163" t="s">
        <v>1010</v>
      </c>
      <c r="H1136" s="163" t="s">
        <v>1008</v>
      </c>
      <c r="I1136" s="163" t="s">
        <v>1009</v>
      </c>
      <c r="J1136" s="125" t="s">
        <v>1007</v>
      </c>
      <c r="K1136" s="155" t="s">
        <v>735</v>
      </c>
      <c r="L1136" s="179">
        <f t="shared" si="282"/>
        <v>20000000</v>
      </c>
      <c r="M1136" s="323">
        <v>20000000</v>
      </c>
      <c r="N1136" s="345"/>
      <c r="O1136" s="301"/>
      <c r="P1136" s="301"/>
      <c r="Q1136" s="301"/>
      <c r="R1136" s="67"/>
      <c r="S1136" s="67"/>
      <c r="T1136" s="67"/>
      <c r="U1136" s="67">
        <v>20000000</v>
      </c>
      <c r="V1136" s="12"/>
      <c r="W1136" s="12"/>
      <c r="X1136" s="30"/>
      <c r="Y1136" s="30"/>
      <c r="Z1136" s="30"/>
      <c r="AA1136" s="30"/>
      <c r="AB1136" s="22"/>
      <c r="AC1136" s="22"/>
      <c r="AD1136" s="22"/>
      <c r="AE1136" s="22"/>
      <c r="AF1136" s="22"/>
      <c r="AG1136" s="22"/>
      <c r="AH1136" s="22"/>
      <c r="AI1136" s="12"/>
      <c r="AJ1136" s="178">
        <v>95.485107870472518</v>
      </c>
      <c r="AK1136" s="162" t="s">
        <v>271</v>
      </c>
      <c r="AL1136" s="70">
        <v>104316545</v>
      </c>
      <c r="AM1136" s="178">
        <v>76.312693753421385</v>
      </c>
    </row>
    <row r="1137" spans="1:39" ht="33">
      <c r="A1137" s="72" t="s">
        <v>923</v>
      </c>
      <c r="E1137" s="37" t="s">
        <v>905</v>
      </c>
      <c r="F1137" s="37"/>
      <c r="G1137" s="163" t="s">
        <v>1010</v>
      </c>
      <c r="H1137" s="163" t="s">
        <v>1008</v>
      </c>
      <c r="I1137" s="163" t="s">
        <v>1009</v>
      </c>
      <c r="J1137" s="125" t="s">
        <v>1007</v>
      </c>
      <c r="K1137" s="155" t="s">
        <v>940</v>
      </c>
      <c r="L1137" s="179">
        <f t="shared" si="282"/>
        <v>10000000</v>
      </c>
      <c r="M1137" s="323">
        <v>10000000</v>
      </c>
      <c r="N1137" s="345"/>
      <c r="O1137" s="301"/>
      <c r="P1137" s="301"/>
      <c r="Q1137" s="301"/>
      <c r="R1137" s="67"/>
      <c r="S1137" s="67"/>
      <c r="T1137" s="67"/>
      <c r="U1137" s="67">
        <v>10000000</v>
      </c>
      <c r="V1137" s="12"/>
      <c r="W1137" s="12"/>
      <c r="X1137" s="30"/>
      <c r="Y1137" s="30"/>
      <c r="Z1137" s="30"/>
      <c r="AA1137" s="30"/>
      <c r="AB1137" s="22"/>
      <c r="AC1137" s="22"/>
      <c r="AD1137" s="22"/>
      <c r="AE1137" s="22"/>
      <c r="AF1137" s="22"/>
      <c r="AG1137" s="22"/>
      <c r="AH1137" s="22"/>
      <c r="AI1137" s="12"/>
      <c r="AJ1137" s="178">
        <v>83.022526933565857</v>
      </c>
      <c r="AK1137" s="162" t="s">
        <v>271</v>
      </c>
      <c r="AL1137" s="70">
        <v>66324118</v>
      </c>
      <c r="AM1137" s="178">
        <v>67.945055417095773</v>
      </c>
    </row>
    <row r="1138" spans="1:39" ht="33">
      <c r="A1138" s="72" t="s">
        <v>923</v>
      </c>
      <c r="E1138" s="37" t="s">
        <v>902</v>
      </c>
      <c r="F1138" s="37"/>
      <c r="G1138" s="163" t="s">
        <v>1010</v>
      </c>
      <c r="H1138" s="163" t="s">
        <v>1008</v>
      </c>
      <c r="I1138" s="163" t="s">
        <v>1009</v>
      </c>
      <c r="J1138" s="125" t="s">
        <v>1007</v>
      </c>
      <c r="K1138" s="155" t="s">
        <v>737</v>
      </c>
      <c r="L1138" s="179">
        <f t="shared" si="282"/>
        <v>17000000</v>
      </c>
      <c r="M1138" s="323">
        <v>17000000</v>
      </c>
      <c r="N1138" s="345"/>
      <c r="O1138" s="301"/>
      <c r="P1138" s="301"/>
      <c r="Q1138" s="301"/>
      <c r="R1138" s="67"/>
      <c r="S1138" s="67"/>
      <c r="T1138" s="67"/>
      <c r="U1138" s="67">
        <v>17000000</v>
      </c>
      <c r="V1138" s="12"/>
      <c r="W1138" s="12"/>
      <c r="X1138" s="30"/>
      <c r="Y1138" s="30"/>
      <c r="Z1138" s="30"/>
      <c r="AA1138" s="30"/>
      <c r="AB1138" s="22"/>
      <c r="AC1138" s="22"/>
      <c r="AD1138" s="22"/>
      <c r="AE1138" s="22"/>
      <c r="AF1138" s="22"/>
      <c r="AG1138" s="22"/>
      <c r="AH1138" s="22"/>
      <c r="AI1138" s="12"/>
      <c r="AJ1138" s="178">
        <v>82.514870515257314</v>
      </c>
      <c r="AK1138" s="162" t="s">
        <v>271</v>
      </c>
      <c r="AL1138" s="70">
        <v>110394628</v>
      </c>
      <c r="AM1138" s="178">
        <v>67.115570469606538</v>
      </c>
    </row>
    <row r="1139" spans="1:39" ht="33">
      <c r="A1139" s="72" t="s">
        <v>923</v>
      </c>
      <c r="E1139" s="120" t="s">
        <v>1469</v>
      </c>
      <c r="F1139" s="37"/>
      <c r="G1139" s="163" t="s">
        <v>1010</v>
      </c>
      <c r="H1139" s="163" t="s">
        <v>1008</v>
      </c>
      <c r="I1139" s="163" t="s">
        <v>1009</v>
      </c>
      <c r="J1139" s="125" t="s">
        <v>1007</v>
      </c>
      <c r="K1139" s="155" t="s">
        <v>949</v>
      </c>
      <c r="L1139" s="179">
        <f t="shared" si="282"/>
        <v>45880000</v>
      </c>
      <c r="M1139" s="323">
        <f>45380000+500000</f>
        <v>45880000</v>
      </c>
      <c r="N1139" s="345"/>
      <c r="O1139" s="301"/>
      <c r="P1139" s="301"/>
      <c r="Q1139" s="301"/>
      <c r="R1139" s="67"/>
      <c r="S1139" s="67"/>
      <c r="T1139" s="67"/>
      <c r="U1139" s="67">
        <v>45380000</v>
      </c>
      <c r="V1139" s="12"/>
      <c r="W1139" s="12"/>
      <c r="X1139" s="30"/>
      <c r="Y1139" s="30"/>
      <c r="Z1139" s="30"/>
      <c r="AA1139" s="30"/>
      <c r="AB1139" s="22"/>
      <c r="AC1139" s="22"/>
      <c r="AD1139" s="22"/>
      <c r="AE1139" s="22"/>
      <c r="AF1139" s="22"/>
      <c r="AG1139" s="22"/>
      <c r="AH1139" s="22"/>
      <c r="AI1139" s="12"/>
      <c r="AJ1139" s="178">
        <v>26.308151206038794</v>
      </c>
      <c r="AK1139" s="162" t="s">
        <v>271</v>
      </c>
      <c r="AL1139" s="70">
        <v>255713914</v>
      </c>
      <c r="AM1139" s="178">
        <v>8.5617566942407386</v>
      </c>
    </row>
    <row r="1140" spans="1:39" ht="33">
      <c r="A1140" s="72" t="s">
        <v>923</v>
      </c>
      <c r="E1140" s="37" t="s">
        <v>905</v>
      </c>
      <c r="F1140" s="37"/>
      <c r="G1140" s="163" t="s">
        <v>1010</v>
      </c>
      <c r="H1140" s="163" t="s">
        <v>1008</v>
      </c>
      <c r="I1140" s="163" t="s">
        <v>1009</v>
      </c>
      <c r="J1140" s="125" t="s">
        <v>1007</v>
      </c>
      <c r="K1140" s="155" t="s">
        <v>739</v>
      </c>
      <c r="L1140" s="179">
        <f t="shared" si="282"/>
        <v>50000000</v>
      </c>
      <c r="M1140" s="323">
        <v>50000000</v>
      </c>
      <c r="N1140" s="345"/>
      <c r="O1140" s="301"/>
      <c r="P1140" s="301"/>
      <c r="Q1140" s="301"/>
      <c r="R1140" s="67"/>
      <c r="S1140" s="67"/>
      <c r="T1140" s="67"/>
      <c r="U1140" s="67">
        <v>50000000</v>
      </c>
      <c r="V1140" s="12"/>
      <c r="W1140" s="12"/>
      <c r="X1140" s="30"/>
      <c r="Y1140" s="30"/>
      <c r="Z1140" s="30"/>
      <c r="AA1140" s="30"/>
      <c r="AB1140" s="22"/>
      <c r="AC1140" s="22"/>
      <c r="AD1140" s="22"/>
      <c r="AE1140" s="22"/>
      <c r="AF1140" s="22"/>
      <c r="AG1140" s="22"/>
      <c r="AH1140" s="22"/>
      <c r="AI1140" s="12"/>
      <c r="AJ1140" s="178">
        <v>72.63038736912948</v>
      </c>
      <c r="AK1140" s="162" t="s">
        <v>271</v>
      </c>
      <c r="AL1140" s="70">
        <v>200023838</v>
      </c>
      <c r="AM1140" s="178">
        <v>47.633366764015392</v>
      </c>
    </row>
    <row r="1141" spans="1:39" ht="33">
      <c r="A1141" s="72" t="s">
        <v>923</v>
      </c>
      <c r="E1141" s="37" t="s">
        <v>906</v>
      </c>
      <c r="F1141" s="37"/>
      <c r="G1141" s="163" t="s">
        <v>1010</v>
      </c>
      <c r="H1141" s="163" t="s">
        <v>1008</v>
      </c>
      <c r="I1141" s="163" t="s">
        <v>1009</v>
      </c>
      <c r="J1141" s="125" t="s">
        <v>1007</v>
      </c>
      <c r="K1141" s="155" t="s">
        <v>738</v>
      </c>
      <c r="L1141" s="179">
        <f t="shared" si="282"/>
        <v>10000000</v>
      </c>
      <c r="M1141" s="323">
        <v>10000000</v>
      </c>
      <c r="N1141" s="345"/>
      <c r="O1141" s="301"/>
      <c r="P1141" s="301"/>
      <c r="Q1141" s="301"/>
      <c r="R1141" s="67"/>
      <c r="S1141" s="67"/>
      <c r="T1141" s="67"/>
      <c r="U1141" s="67">
        <v>10000000</v>
      </c>
      <c r="V1141" s="12"/>
      <c r="W1141" s="12"/>
      <c r="X1141" s="30"/>
      <c r="Y1141" s="30"/>
      <c r="Z1141" s="30"/>
      <c r="AA1141" s="30"/>
      <c r="AB1141" s="22"/>
      <c r="AC1141" s="22"/>
      <c r="AD1141" s="22"/>
      <c r="AE1141" s="22"/>
      <c r="AF1141" s="22"/>
      <c r="AG1141" s="22"/>
      <c r="AH1141" s="22"/>
      <c r="AI1141" s="12"/>
      <c r="AJ1141" s="178">
        <v>65.517923629939787</v>
      </c>
      <c r="AK1141" s="162" t="s">
        <v>271</v>
      </c>
      <c r="AL1141" s="70">
        <v>199338667</v>
      </c>
      <c r="AM1141" s="178">
        <v>60.501335453397012</v>
      </c>
    </row>
    <row r="1142" spans="1:39" ht="33">
      <c r="A1142" s="72" t="s">
        <v>923</v>
      </c>
      <c r="E1142" s="37" t="s">
        <v>902</v>
      </c>
      <c r="F1142" s="37"/>
      <c r="G1142" s="163" t="s">
        <v>1010</v>
      </c>
      <c r="H1142" s="163" t="s">
        <v>1008</v>
      </c>
      <c r="I1142" s="163" t="s">
        <v>1009</v>
      </c>
      <c r="J1142" s="125" t="s">
        <v>1007</v>
      </c>
      <c r="K1142" s="155" t="s">
        <v>736</v>
      </c>
      <c r="L1142" s="179">
        <f t="shared" si="282"/>
        <v>10000000</v>
      </c>
      <c r="M1142" s="323">
        <v>10000000</v>
      </c>
      <c r="N1142" s="345"/>
      <c r="O1142" s="301"/>
      <c r="P1142" s="301"/>
      <c r="Q1142" s="301"/>
      <c r="R1142" s="67"/>
      <c r="S1142" s="67"/>
      <c r="T1142" s="67"/>
      <c r="U1142" s="67">
        <v>10000000</v>
      </c>
      <c r="V1142" s="12"/>
      <c r="W1142" s="12"/>
      <c r="X1142" s="30"/>
      <c r="Y1142" s="30"/>
      <c r="Z1142" s="30"/>
      <c r="AA1142" s="30"/>
      <c r="AB1142" s="22"/>
      <c r="AC1142" s="22"/>
      <c r="AD1142" s="22"/>
      <c r="AE1142" s="22"/>
      <c r="AF1142" s="22"/>
      <c r="AG1142" s="22"/>
      <c r="AH1142" s="22"/>
      <c r="AI1142" s="12"/>
      <c r="AJ1142" s="178">
        <v>62.048008574433979</v>
      </c>
      <c r="AK1142" s="162" t="s">
        <v>346</v>
      </c>
      <c r="AL1142" s="70">
        <v>52278203</v>
      </c>
      <c r="AM1142" s="178">
        <v>42.919577553191715</v>
      </c>
    </row>
    <row r="1143" spans="1:39" ht="33">
      <c r="A1143" s="72" t="s">
        <v>923</v>
      </c>
      <c r="E1143" s="37" t="s">
        <v>902</v>
      </c>
      <c r="F1143" s="37"/>
      <c r="G1143" s="163" t="s">
        <v>1010</v>
      </c>
      <c r="H1143" s="163" t="s">
        <v>1008</v>
      </c>
      <c r="I1143" s="163" t="s">
        <v>1009</v>
      </c>
      <c r="J1143" s="125" t="s">
        <v>1007</v>
      </c>
      <c r="K1143" s="155" t="s">
        <v>734</v>
      </c>
      <c r="L1143" s="179">
        <f t="shared" si="282"/>
        <v>5000000</v>
      </c>
      <c r="M1143" s="323">
        <v>5000000</v>
      </c>
      <c r="N1143" s="345"/>
      <c r="O1143" s="301"/>
      <c r="P1143" s="301"/>
      <c r="Q1143" s="301"/>
      <c r="R1143" s="67"/>
      <c r="S1143" s="67"/>
      <c r="T1143" s="67"/>
      <c r="U1143" s="67">
        <v>5000000</v>
      </c>
      <c r="V1143" s="12"/>
      <c r="W1143" s="12"/>
      <c r="X1143" s="30"/>
      <c r="Y1143" s="30"/>
      <c r="Z1143" s="30"/>
      <c r="AA1143" s="30"/>
      <c r="AB1143" s="22"/>
      <c r="AC1143" s="22"/>
      <c r="AD1143" s="22"/>
      <c r="AE1143" s="22"/>
      <c r="AF1143" s="22"/>
      <c r="AG1143" s="22"/>
      <c r="AH1143" s="22"/>
      <c r="AI1143" s="12"/>
      <c r="AJ1143" s="178">
        <v>87.241499002276115</v>
      </c>
      <c r="AK1143" s="162" t="s">
        <v>347</v>
      </c>
      <c r="AL1143" s="70">
        <v>226349196</v>
      </c>
      <c r="AM1143" s="178">
        <v>85.032522744193884</v>
      </c>
    </row>
    <row r="1144" spans="1:39" ht="33">
      <c r="A1144" s="72" t="s">
        <v>923</v>
      </c>
      <c r="E1144" s="37" t="s">
        <v>903</v>
      </c>
      <c r="F1144" s="37"/>
      <c r="G1144" s="163" t="s">
        <v>1010</v>
      </c>
      <c r="H1144" s="163" t="s">
        <v>1008</v>
      </c>
      <c r="I1144" s="163" t="s">
        <v>1009</v>
      </c>
      <c r="J1144" s="125" t="s">
        <v>1007</v>
      </c>
      <c r="K1144" s="155" t="s">
        <v>741</v>
      </c>
      <c r="L1144" s="179">
        <f t="shared" si="282"/>
        <v>54900000</v>
      </c>
      <c r="M1144" s="323">
        <v>54900000</v>
      </c>
      <c r="N1144" s="345"/>
      <c r="O1144" s="301"/>
      <c r="P1144" s="301"/>
      <c r="Q1144" s="301"/>
      <c r="R1144" s="67"/>
      <c r="S1144" s="67"/>
      <c r="T1144" s="67"/>
      <c r="U1144" s="67">
        <v>54900000</v>
      </c>
      <c r="V1144" s="12"/>
      <c r="W1144" s="12"/>
      <c r="X1144" s="30"/>
      <c r="Y1144" s="30"/>
      <c r="Z1144" s="30"/>
      <c r="AA1144" s="30"/>
      <c r="AB1144" s="22"/>
      <c r="AC1144" s="22"/>
      <c r="AD1144" s="22"/>
      <c r="AE1144" s="22"/>
      <c r="AF1144" s="22"/>
      <c r="AG1144" s="22"/>
      <c r="AH1144" s="22"/>
      <c r="AI1144" s="12"/>
      <c r="AJ1144" s="178">
        <v>64.520997518569473</v>
      </c>
      <c r="AK1144" s="162" t="s">
        <v>271</v>
      </c>
      <c r="AL1144" s="70">
        <v>141017044</v>
      </c>
      <c r="AM1144" s="178">
        <v>25.589533319107154</v>
      </c>
    </row>
    <row r="1145" spans="1:39" ht="33">
      <c r="A1145" s="72" t="s">
        <v>923</v>
      </c>
      <c r="E1145" s="37" t="s">
        <v>902</v>
      </c>
      <c r="F1145" s="37"/>
      <c r="G1145" s="163" t="s">
        <v>1010</v>
      </c>
      <c r="H1145" s="163" t="s">
        <v>1008</v>
      </c>
      <c r="I1145" s="163" t="s">
        <v>1009</v>
      </c>
      <c r="J1145" s="125" t="s">
        <v>1007</v>
      </c>
      <c r="K1145" s="155" t="s">
        <v>744</v>
      </c>
      <c r="L1145" s="179">
        <f t="shared" si="282"/>
        <v>4500000</v>
      </c>
      <c r="M1145" s="323">
        <v>4500000</v>
      </c>
      <c r="N1145" s="345"/>
      <c r="O1145" s="301"/>
      <c r="P1145" s="301"/>
      <c r="Q1145" s="301"/>
      <c r="R1145" s="67"/>
      <c r="S1145" s="67"/>
      <c r="T1145" s="67"/>
      <c r="U1145" s="67">
        <v>4500000</v>
      </c>
      <c r="V1145" s="12"/>
      <c r="W1145" s="12"/>
      <c r="X1145" s="30"/>
      <c r="Y1145" s="30"/>
      <c r="Z1145" s="30"/>
      <c r="AA1145" s="30"/>
      <c r="AB1145" s="22"/>
      <c r="AC1145" s="22"/>
      <c r="AD1145" s="22"/>
      <c r="AE1145" s="22"/>
      <c r="AF1145" s="22"/>
      <c r="AG1145" s="22"/>
      <c r="AH1145" s="22"/>
      <c r="AI1145" s="12"/>
      <c r="AJ1145" s="178">
        <v>99.362258793566511</v>
      </c>
      <c r="AK1145" s="162" t="s">
        <v>271</v>
      </c>
      <c r="AL1145" s="70">
        <v>32061593</v>
      </c>
      <c r="AM1145" s="178">
        <v>85.326774031471246</v>
      </c>
    </row>
    <row r="1146" spans="1:39" ht="49.5">
      <c r="A1146" s="72" t="s">
        <v>923</v>
      </c>
      <c r="E1146" s="37" t="s">
        <v>902</v>
      </c>
      <c r="F1146" s="37"/>
      <c r="G1146" s="163" t="s">
        <v>1010</v>
      </c>
      <c r="H1146" s="163" t="s">
        <v>1008</v>
      </c>
      <c r="I1146" s="163" t="s">
        <v>1009</v>
      </c>
      <c r="J1146" s="125" t="s">
        <v>1007</v>
      </c>
      <c r="K1146" s="155" t="s">
        <v>941</v>
      </c>
      <c r="L1146" s="179">
        <f t="shared" si="282"/>
        <v>8000000</v>
      </c>
      <c r="M1146" s="323">
        <v>8000000</v>
      </c>
      <c r="N1146" s="345"/>
      <c r="O1146" s="301"/>
      <c r="P1146" s="301"/>
      <c r="Q1146" s="301"/>
      <c r="R1146" s="67"/>
      <c r="S1146" s="67"/>
      <c r="T1146" s="67"/>
      <c r="U1146" s="67">
        <v>8000000</v>
      </c>
      <c r="V1146" s="12"/>
      <c r="W1146" s="12"/>
      <c r="X1146" s="30"/>
      <c r="Y1146" s="30"/>
      <c r="Z1146" s="30"/>
      <c r="AA1146" s="30"/>
      <c r="AB1146" s="22"/>
      <c r="AC1146" s="22"/>
      <c r="AD1146" s="22"/>
      <c r="AE1146" s="22"/>
      <c r="AF1146" s="22"/>
      <c r="AG1146" s="22"/>
      <c r="AH1146" s="22"/>
      <c r="AI1146" s="12"/>
      <c r="AJ1146" s="178">
        <v>71.869060942712224</v>
      </c>
      <c r="AK1146" s="162" t="s">
        <v>271</v>
      </c>
      <c r="AL1146" s="70">
        <v>16558436</v>
      </c>
      <c r="AM1146" s="178">
        <v>23.555319234256181</v>
      </c>
    </row>
    <row r="1147" spans="1:39" ht="33">
      <c r="A1147" s="72" t="s">
        <v>923</v>
      </c>
      <c r="E1147" s="37" t="s">
        <v>903</v>
      </c>
      <c r="F1147" s="37"/>
      <c r="G1147" s="163" t="s">
        <v>1010</v>
      </c>
      <c r="H1147" s="163" t="s">
        <v>1008</v>
      </c>
      <c r="I1147" s="163" t="s">
        <v>1009</v>
      </c>
      <c r="J1147" s="125" t="s">
        <v>1007</v>
      </c>
      <c r="K1147" s="155" t="s">
        <v>745</v>
      </c>
      <c r="L1147" s="179">
        <f t="shared" si="282"/>
        <v>55000000</v>
      </c>
      <c r="M1147" s="323">
        <v>55000000</v>
      </c>
      <c r="N1147" s="345"/>
      <c r="O1147" s="301"/>
      <c r="P1147" s="301"/>
      <c r="Q1147" s="301"/>
      <c r="R1147" s="67"/>
      <c r="S1147" s="67"/>
      <c r="T1147" s="67"/>
      <c r="U1147" s="67">
        <v>55000000</v>
      </c>
      <c r="V1147" s="12"/>
      <c r="W1147" s="12"/>
      <c r="X1147" s="30"/>
      <c r="Y1147" s="30"/>
      <c r="Z1147" s="30"/>
      <c r="AA1147" s="30"/>
      <c r="AB1147" s="22"/>
      <c r="AC1147" s="22"/>
      <c r="AD1147" s="22"/>
      <c r="AE1147" s="22"/>
      <c r="AF1147" s="22"/>
      <c r="AG1147" s="22"/>
      <c r="AH1147" s="22"/>
      <c r="AI1147" s="12"/>
      <c r="AJ1147" s="178">
        <v>72.864830639716942</v>
      </c>
      <c r="AK1147" s="162" t="s">
        <v>271</v>
      </c>
      <c r="AL1147" s="70">
        <v>194326051</v>
      </c>
      <c r="AM1147" s="178">
        <v>44.561883239216343</v>
      </c>
    </row>
    <row r="1148" spans="1:39" ht="33">
      <c r="A1148" s="72" t="s">
        <v>923</v>
      </c>
      <c r="E1148" s="37" t="s">
        <v>905</v>
      </c>
      <c r="F1148" s="37"/>
      <c r="G1148" s="163" t="s">
        <v>1010</v>
      </c>
      <c r="H1148" s="163" t="s">
        <v>1008</v>
      </c>
      <c r="I1148" s="163" t="s">
        <v>1009</v>
      </c>
      <c r="J1148" s="125" t="s">
        <v>1007</v>
      </c>
      <c r="K1148" s="155" t="s">
        <v>740</v>
      </c>
      <c r="L1148" s="179">
        <f t="shared" si="282"/>
        <v>100000</v>
      </c>
      <c r="M1148" s="323">
        <v>100000</v>
      </c>
      <c r="N1148" s="345"/>
      <c r="O1148" s="301"/>
      <c r="P1148" s="301"/>
      <c r="Q1148" s="301"/>
      <c r="R1148" s="67"/>
      <c r="S1148" s="67"/>
      <c r="T1148" s="67"/>
      <c r="U1148" s="67">
        <v>100000</v>
      </c>
      <c r="V1148" s="12"/>
      <c r="W1148" s="12"/>
      <c r="X1148" s="30"/>
      <c r="Y1148" s="30"/>
      <c r="Z1148" s="30"/>
      <c r="AA1148" s="30"/>
      <c r="AB1148" s="22"/>
      <c r="AC1148" s="22"/>
      <c r="AD1148" s="22"/>
      <c r="AE1148" s="22"/>
      <c r="AF1148" s="22"/>
      <c r="AG1148" s="22"/>
      <c r="AH1148" s="22"/>
      <c r="AI1148" s="12"/>
      <c r="AJ1148" s="178"/>
      <c r="AK1148" s="162" t="s">
        <v>331</v>
      </c>
      <c r="AL1148" s="70">
        <v>209000000</v>
      </c>
      <c r="AM1148" s="178"/>
    </row>
    <row r="1149" spans="1:39" ht="33">
      <c r="A1149" s="72" t="s">
        <v>923</v>
      </c>
      <c r="E1149" s="37" t="s">
        <v>903</v>
      </c>
      <c r="F1149" s="37"/>
      <c r="G1149" s="163" t="s">
        <v>1010</v>
      </c>
      <c r="H1149" s="163" t="s">
        <v>1008</v>
      </c>
      <c r="I1149" s="163" t="s">
        <v>1009</v>
      </c>
      <c r="J1149" s="125" t="s">
        <v>1007</v>
      </c>
      <c r="K1149" s="155" t="s">
        <v>1173</v>
      </c>
      <c r="L1149" s="179">
        <f t="shared" si="282"/>
        <v>8500000</v>
      </c>
      <c r="M1149" s="323">
        <f>7000000+1500000</f>
        <v>8500000</v>
      </c>
      <c r="N1149" s="345"/>
      <c r="O1149" s="301"/>
      <c r="P1149" s="301"/>
      <c r="Q1149" s="301"/>
      <c r="R1149" s="67"/>
      <c r="S1149" s="67"/>
      <c r="T1149" s="67"/>
      <c r="U1149" s="67">
        <v>500000</v>
      </c>
      <c r="V1149" s="12"/>
      <c r="W1149" s="12"/>
      <c r="X1149" s="30"/>
      <c r="Y1149" s="30"/>
      <c r="Z1149" s="30"/>
      <c r="AA1149" s="30"/>
      <c r="AB1149" s="22"/>
      <c r="AC1149" s="22"/>
      <c r="AD1149" s="22"/>
      <c r="AE1149" s="22"/>
      <c r="AF1149" s="22"/>
      <c r="AG1149" s="22"/>
      <c r="AH1149" s="22"/>
      <c r="AI1149" s="12"/>
      <c r="AJ1149" s="178">
        <v>17.252154683213224</v>
      </c>
      <c r="AK1149" s="162">
        <v>2021</v>
      </c>
      <c r="AL1149" s="70">
        <v>40574642</v>
      </c>
      <c r="AM1149" s="178"/>
    </row>
    <row r="1150" spans="1:39" ht="33">
      <c r="A1150" s="72" t="s">
        <v>923</v>
      </c>
      <c r="E1150" s="37" t="s">
        <v>902</v>
      </c>
      <c r="F1150" s="37"/>
      <c r="G1150" s="163" t="s">
        <v>1010</v>
      </c>
      <c r="H1150" s="163" t="s">
        <v>1008</v>
      </c>
      <c r="I1150" s="163" t="s">
        <v>1009</v>
      </c>
      <c r="J1150" s="125" t="s">
        <v>1007</v>
      </c>
      <c r="K1150" s="155" t="s">
        <v>742</v>
      </c>
      <c r="L1150" s="179">
        <f t="shared" si="282"/>
        <v>100000</v>
      </c>
      <c r="M1150" s="323">
        <v>100000</v>
      </c>
      <c r="N1150" s="345"/>
      <c r="O1150" s="301"/>
      <c r="P1150" s="301"/>
      <c r="Q1150" s="301"/>
      <c r="R1150" s="67"/>
      <c r="S1150" s="67"/>
      <c r="T1150" s="67"/>
      <c r="U1150" s="67">
        <v>500000</v>
      </c>
      <c r="V1150" s="12"/>
      <c r="W1150" s="12"/>
      <c r="X1150" s="30"/>
      <c r="Y1150" s="30"/>
      <c r="Z1150" s="30"/>
      <c r="AA1150" s="30"/>
      <c r="AB1150" s="22"/>
      <c r="AC1150" s="22"/>
      <c r="AD1150" s="22"/>
      <c r="AE1150" s="22"/>
      <c r="AF1150" s="22"/>
      <c r="AG1150" s="22"/>
      <c r="AH1150" s="22"/>
      <c r="AI1150" s="12"/>
      <c r="AJ1150" s="178">
        <v>10</v>
      </c>
      <c r="AK1150" s="162" t="s">
        <v>952</v>
      </c>
      <c r="AL1150" s="70">
        <v>1000000</v>
      </c>
      <c r="AM1150" s="178"/>
    </row>
    <row r="1151" spans="1:39" ht="33">
      <c r="A1151" s="72" t="s">
        <v>923</v>
      </c>
      <c r="E1151" s="37" t="s">
        <v>904</v>
      </c>
      <c r="F1151" s="37"/>
      <c r="G1151" s="163" t="s">
        <v>1010</v>
      </c>
      <c r="H1151" s="163" t="s">
        <v>1008</v>
      </c>
      <c r="I1151" s="163" t="s">
        <v>1009</v>
      </c>
      <c r="J1151" s="125" t="s">
        <v>1007</v>
      </c>
      <c r="K1151" s="155" t="s">
        <v>743</v>
      </c>
      <c r="L1151" s="179">
        <f t="shared" si="282"/>
        <v>1100000</v>
      </c>
      <c r="M1151" s="323">
        <f>1000000+100000</f>
        <v>1100000</v>
      </c>
      <c r="N1151" s="345"/>
      <c r="O1151" s="301"/>
      <c r="P1151" s="301"/>
      <c r="Q1151" s="301"/>
      <c r="R1151" s="67"/>
      <c r="S1151" s="67"/>
      <c r="T1151" s="67"/>
      <c r="U1151" s="67">
        <v>500000</v>
      </c>
      <c r="V1151" s="12"/>
      <c r="W1151" s="12"/>
      <c r="X1151" s="30"/>
      <c r="Y1151" s="30"/>
      <c r="Z1151" s="30"/>
      <c r="AA1151" s="30"/>
      <c r="AB1151" s="22"/>
      <c r="AC1151" s="22"/>
      <c r="AD1151" s="22"/>
      <c r="AE1151" s="22"/>
      <c r="AF1151" s="22"/>
      <c r="AG1151" s="22"/>
      <c r="AH1151" s="22"/>
      <c r="AI1151" s="12"/>
      <c r="AJ1151" s="178">
        <v>4.5454545454545459</v>
      </c>
      <c r="AK1151" s="162" t="s">
        <v>331</v>
      </c>
      <c r="AL1151" s="70">
        <v>2200000</v>
      </c>
      <c r="AM1151" s="178"/>
    </row>
    <row r="1152" spans="1:39" s="245" customFormat="1" ht="33">
      <c r="A1152" s="193" t="s">
        <v>923</v>
      </c>
      <c r="B1152" s="246"/>
      <c r="C1152" s="246"/>
      <c r="D1152" s="246"/>
      <c r="E1152" s="247" t="s">
        <v>1225</v>
      </c>
      <c r="F1152" s="247"/>
      <c r="G1152" s="184">
        <v>1200000</v>
      </c>
      <c r="H1152" s="184"/>
      <c r="I1152" s="184"/>
      <c r="J1152" s="184" t="s">
        <v>66</v>
      </c>
      <c r="K1152" s="201"/>
      <c r="L1152" s="287">
        <f>L1154</f>
        <v>0</v>
      </c>
      <c r="M1152" s="288">
        <f>M1154</f>
        <v>-1688398757</v>
      </c>
      <c r="N1152" s="289">
        <f>N1154-N1153</f>
        <v>-1052896713</v>
      </c>
      <c r="O1152" s="289">
        <f>O1154</f>
        <v>0</v>
      </c>
      <c r="P1152" s="289">
        <f t="shared" ref="P1152" si="283">P1154</f>
        <v>-82094952</v>
      </c>
      <c r="Q1152" s="289">
        <f>Q1154</f>
        <v>-523400000</v>
      </c>
      <c r="R1152" s="187"/>
      <c r="S1152" s="187"/>
      <c r="T1152" s="187"/>
      <c r="U1152" s="187">
        <f>U1154</f>
        <v>-2662295470</v>
      </c>
      <c r="V1152" s="200"/>
      <c r="W1152" s="199"/>
      <c r="X1152" s="199"/>
      <c r="Y1152" s="199"/>
      <c r="Z1152" s="199"/>
      <c r="AA1152" s="199"/>
      <c r="AB1152" s="199"/>
      <c r="AC1152" s="199"/>
      <c r="AD1152" s="199"/>
      <c r="AE1152" s="199"/>
      <c r="AF1152" s="199"/>
      <c r="AG1152" s="199"/>
      <c r="AH1152" s="199"/>
      <c r="AI1152" s="244"/>
      <c r="AJ1152" s="187"/>
      <c r="AK1152" s="185"/>
      <c r="AL1152" s="197"/>
      <c r="AM1152" s="197"/>
    </row>
    <row r="1153" spans="1:39" s="245" customFormat="1" ht="33">
      <c r="A1153" s="193" t="s">
        <v>923</v>
      </c>
      <c r="B1153" s="246"/>
      <c r="C1153" s="246"/>
      <c r="D1153" s="246"/>
      <c r="E1153" s="247" t="s">
        <v>1225</v>
      </c>
      <c r="F1153" s="247"/>
      <c r="G1153" s="184">
        <v>1210000</v>
      </c>
      <c r="H1153" s="184"/>
      <c r="I1153" s="219"/>
      <c r="J1153" s="190" t="s">
        <v>66</v>
      </c>
      <c r="K1153" s="201"/>
      <c r="L1153" s="290"/>
      <c r="M1153" s="291"/>
      <c r="N1153" s="297"/>
      <c r="O1153" s="346"/>
      <c r="P1153" s="346"/>
      <c r="Q1153" s="346"/>
      <c r="R1153" s="187"/>
      <c r="S1153" s="199"/>
      <c r="T1153" s="199"/>
      <c r="U1153" s="199"/>
      <c r="V1153" s="200"/>
      <c r="W1153" s="199"/>
      <c r="X1153" s="199"/>
      <c r="Y1153" s="199"/>
      <c r="Z1153" s="199"/>
      <c r="AA1153" s="199"/>
      <c r="AB1153" s="199"/>
      <c r="AC1153" s="199"/>
      <c r="AD1153" s="199"/>
      <c r="AE1153" s="199"/>
      <c r="AF1153" s="199"/>
      <c r="AG1153" s="199"/>
      <c r="AH1153" s="199"/>
      <c r="AI1153" s="244"/>
      <c r="AJ1153" s="185"/>
      <c r="AK1153" s="185"/>
      <c r="AL1153" s="197"/>
      <c r="AM1153" s="197"/>
    </row>
    <row r="1154" spans="1:39" s="7" customFormat="1" ht="33">
      <c r="A1154" s="72" t="s">
        <v>666</v>
      </c>
      <c r="B1154" s="36"/>
      <c r="C1154" s="36"/>
      <c r="D1154" s="36"/>
      <c r="E1154" s="120" t="s">
        <v>1469</v>
      </c>
      <c r="F1154" s="122"/>
      <c r="G1154" s="93" t="s">
        <v>187</v>
      </c>
      <c r="H1154" s="93" t="s">
        <v>188</v>
      </c>
      <c r="I1154" s="93" t="s">
        <v>108</v>
      </c>
      <c r="J1154" s="81" t="s">
        <v>186</v>
      </c>
      <c r="K1154" s="86" t="s">
        <v>189</v>
      </c>
      <c r="L1154" s="347"/>
      <c r="M1154" s="348">
        <v>-1688398757</v>
      </c>
      <c r="N1154" s="349">
        <v>-1052896713</v>
      </c>
      <c r="O1154" s="350"/>
      <c r="P1154" s="351">
        <v>-82094952</v>
      </c>
      <c r="Q1154" s="351">
        <v>-523400000</v>
      </c>
      <c r="R1154" s="43">
        <v>-440000000</v>
      </c>
      <c r="S1154" s="61"/>
      <c r="T1154" s="61"/>
      <c r="U1154" s="61">
        <v>-2662295470</v>
      </c>
      <c r="V1154" s="10"/>
      <c r="W1154" s="2"/>
      <c r="X1154" s="2"/>
      <c r="Y1154" s="2"/>
      <c r="Z1154" s="2"/>
      <c r="AA1154" s="2"/>
      <c r="AB1154" s="2"/>
      <c r="AC1154" s="2"/>
      <c r="AD1154" s="2"/>
      <c r="AE1154" s="2"/>
      <c r="AF1154" s="2"/>
      <c r="AG1154" s="2"/>
      <c r="AH1154" s="2"/>
      <c r="AI1154" s="31"/>
      <c r="AJ1154" s="78"/>
      <c r="AK1154" s="78"/>
      <c r="AL1154" s="84"/>
      <c r="AM1154" s="84"/>
    </row>
    <row r="1155" spans="1:39" s="28" customFormat="1">
      <c r="A1155" s="34" t="s">
        <v>923</v>
      </c>
      <c r="B1155" s="35"/>
      <c r="C1155" s="35"/>
      <c r="D1155" s="35"/>
      <c r="E1155" s="35"/>
      <c r="F1155" s="35"/>
      <c r="G1155" s="77" t="s">
        <v>190</v>
      </c>
      <c r="H1155" s="77" t="s">
        <v>190</v>
      </c>
      <c r="I1155" s="77" t="s">
        <v>190</v>
      </c>
      <c r="J1155" s="109" t="s">
        <v>191</v>
      </c>
      <c r="K1155" s="77" t="s">
        <v>190</v>
      </c>
      <c r="L1155" s="352">
        <f>L3+L6+L13+L30+L35+L38+L42+L65+L379+L464+L487+L492+L563+L588+L595+L648+L672+L654+L722+L733+L751+L759+L763+L767+L773+L792+L796+L799+L802+L805+L814+L817+L820+L835+L846+L856+L867+L883+L990+L1152+L1131++L972+L930+L916+L896-L1152+440000000</f>
        <v>3789592492</v>
      </c>
      <c r="M1155" s="350">
        <f>M3+M6+M13+M30+M35+M38+M42+M65+M379+M464+M487+M492+M563+M588+M595+M648+M672+M654+M722+M733+M751+M759+M763+M767+M773+M792+M796+M799+M802+M805+M814+M817+M820+M835+M846+M856+M867+M883+M990+M1152+M1131++M972+M930+M916+M896</f>
        <v>0</v>
      </c>
      <c r="N1155" s="350">
        <f>N3+N6+N13+N30+N35+N38+N42+N65+N379+N464+N487+N492+N563+N588+N595+N648+N672+N654+N722+N733+N751+N759+N763+N767+N773+N792+N796+N799+N802+N805+N814+N817+N820+N835+N846+N856+N867+N883+N990+N1152</f>
        <v>0</v>
      </c>
      <c r="O1155" s="350">
        <f>O3+O6+O13+O30+O35+O38+O42+O65+O379+O464+O487+O492+O563+O588+O595+O648+O672+O654+O722+O733+O751+O759+O763+O767+O773+O792+O796+O799+O802+O805+O814+O817+O820+O835+O846+O856+O867+O883+O990+O1152</f>
        <v>2802070</v>
      </c>
      <c r="P1155" s="350">
        <f>P3+P6+P13+P30+P35+P38+P42+P65+P379+P464+P487+P492+P563+P588+P595+P648+P672+P654+P722+P733+P751+P759+P763+P767+P773+P792+P796+P799+P802+P805+P814+P817+P820+P835+P846+P856+P867+P883+P990+P1152</f>
        <v>0</v>
      </c>
      <c r="Q1155" s="350">
        <f>Q3+Q6+Q13+Q30+Q35+Q38+Q42+Q65+Q379+Q464+Q487+Q492+Q563+Q588+Q595+Q648+Q672+Q654+Q722+Q733+Q751+Q759+Q763+Q767+Q773+Q792+Q796+Q799+Q802+Q805+Q814+Q817+Q820+Q835+Q846+Q856+Q867+Q883+Q990+Q1152</f>
        <v>0</v>
      </c>
      <c r="R1155" s="79"/>
      <c r="S1155" s="79"/>
      <c r="T1155" s="79"/>
      <c r="U1155" s="79">
        <f>U3+U6+U13+U30+U35+U38+U42+U65+U379+U464+U487+U492+U563+U588+U595+U648+U672+U654+U722+U733+U751+U759+U763+U767+U773+U792+U796+U799+U802+U805+U814+U817+U820+U835+U846+U856+U867+U883+U990+U1131+U1152</f>
        <v>-295347587.88999987</v>
      </c>
      <c r="V1155" s="24">
        <f>V3+V6+V13+V30+V35+V38+V42+V65+V379+V464+V487+V492+V563+V588+V595+V648+V672+V654+V722+V733+V751+V759+V763+V767+V773+V792+V796+V799+V802+V805+V814+V817+V820+V835+V846+V856+V867+V883+V990+V1131</f>
        <v>59434893</v>
      </c>
      <c r="W1155" s="24">
        <f>W3+W6+W13+W30+W35+W38+W42+W65+W379+W464+W487+W492+W563+W588+W595+W648+W672+W654+W722+W733+W751+W759+W763+W767+W773+W792+W796+W799+W802+W805+W814+W817+W820+W835+W846+W856+W867+W883+W990+W1131</f>
        <v>29145300</v>
      </c>
      <c r="X1155" s="24">
        <f>X3+X6+X13+X30+X35+X38+X42+X65+X379+X464+X487+X492+X563+X588+X595+X648+X672+X654+X722+X733+X751+X759+X763+X767+X773+X792+X796+X799+X802+X805+X814+X817+X820+X835+X846+X856+X867+X883+X990+X1131</f>
        <v>163182147.09999999</v>
      </c>
      <c r="Y1155" s="24" t="e">
        <f>Y3+Y6+Y13+Y30+Y35+Y38+Y42+Y65+Y379+Y464+Y487+Y492+Y563+Y588+Y595+Y648+Y672+Y654+Y722+Y733+Y751+Y759+Y763+Y767+Y773+Y792+Y796+Y799+Y802+Y805+Y814+Y817+Y820+Y835+Y846+Y856+Y867+Y883+Y990+Y1131</f>
        <v>#REF!</v>
      </c>
      <c r="Z1155" s="50"/>
      <c r="AA1155" s="50"/>
      <c r="AB1155" s="24" t="e">
        <f>AB3+AB6+AB13+AB30+AB35+AB38+AB42+AB65+AB379+AB464+AB487+AB492+AB563+AB588+AB595+AB648+AB672+AB654+AB722+AB733+AB751+AB759+AB763+AB767+AB773+AB792+AB796+AB799+AB802+AB805+AB814+AB817+AB820+AB835+AB846+AB856+AB867+AB883+AB990+AB1131</f>
        <v>#REF!</v>
      </c>
      <c r="AC1155" s="24"/>
      <c r="AD1155" s="24"/>
      <c r="AE1155" s="24"/>
      <c r="AF1155" s="24"/>
      <c r="AG1155" s="24"/>
      <c r="AH1155" s="24"/>
      <c r="AI1155" s="29"/>
      <c r="AJ1155" s="79">
        <f>AJ3+AJ6+AJ13+AJ30+AJ35+AJ38+AJ42+AJ65+AJ379+AJ464+AJ487+AJ492+AJ563+AJ588+AJ595+AJ648+AJ672+AJ654+AJ722+AJ733+AJ751+AJ759+AJ763+AJ767+AJ773+AJ792+AJ796+AJ799+AJ802+AJ805+AJ814+AJ817+AJ820+AJ835+AJ846+AJ856+AJ867+AJ883+AJ990</f>
        <v>700</v>
      </c>
      <c r="AK1155" s="78" t="s">
        <v>190</v>
      </c>
      <c r="AL1155" s="78" t="s">
        <v>190</v>
      </c>
      <c r="AM1155" s="78"/>
    </row>
    <row r="1156" spans="1:39" s="28" customFormat="1">
      <c r="A1156" s="34"/>
      <c r="B1156" s="35"/>
      <c r="C1156" s="35"/>
      <c r="D1156" s="35"/>
      <c r="E1156" s="35"/>
      <c r="F1156" s="35"/>
      <c r="G1156" s="110"/>
      <c r="H1156" s="110"/>
      <c r="I1156" s="111"/>
      <c r="J1156" s="112"/>
      <c r="K1156" s="113"/>
      <c r="L1156" s="353"/>
      <c r="M1156" s="354"/>
      <c r="N1156" s="354"/>
      <c r="O1156" s="355"/>
      <c r="P1156" s="355"/>
      <c r="Q1156" s="355"/>
      <c r="R1156" s="114"/>
      <c r="S1156" s="73"/>
      <c r="T1156" s="73"/>
      <c r="U1156" s="73"/>
      <c r="V1156" s="20"/>
      <c r="W1156" s="20"/>
      <c r="X1156" s="20"/>
      <c r="Y1156" s="20"/>
      <c r="Z1156" s="54"/>
      <c r="AA1156" s="54"/>
      <c r="AB1156" s="20"/>
      <c r="AC1156" s="20"/>
      <c r="AD1156" s="20"/>
      <c r="AE1156" s="20"/>
      <c r="AF1156" s="20"/>
      <c r="AG1156" s="20"/>
      <c r="AH1156" s="20"/>
      <c r="AJ1156" s="114"/>
      <c r="AK1156" s="113"/>
      <c r="AL1156" s="113"/>
      <c r="AM1156" s="113"/>
    </row>
    <row r="1157" spans="1:39" s="53" customFormat="1" ht="21.75" customHeight="1">
      <c r="A1157" s="72"/>
      <c r="B1157" s="35"/>
      <c r="C1157" s="35"/>
      <c r="D1157" s="35"/>
      <c r="E1157" s="35"/>
      <c r="F1157" s="35"/>
      <c r="G1157" s="110"/>
      <c r="H1157" s="110"/>
      <c r="I1157" s="111"/>
      <c r="J1157" s="112"/>
      <c r="K1157" s="113"/>
      <c r="L1157" s="353"/>
      <c r="M1157" s="354"/>
      <c r="N1157" s="354"/>
      <c r="O1157" s="355"/>
      <c r="P1157" s="355"/>
      <c r="Q1157" s="355"/>
      <c r="R1157" s="114"/>
      <c r="S1157" s="73"/>
      <c r="T1157" s="73"/>
      <c r="U1157" s="73"/>
      <c r="V1157" s="54"/>
      <c r="W1157" s="54"/>
      <c r="X1157" s="54"/>
      <c r="Y1157" s="54"/>
      <c r="Z1157" s="54"/>
      <c r="AA1157" s="54"/>
      <c r="AB1157" s="54"/>
      <c r="AC1157" s="54"/>
      <c r="AD1157" s="54"/>
      <c r="AE1157" s="54"/>
      <c r="AF1157" s="54"/>
      <c r="AG1157" s="54"/>
      <c r="AH1157" s="54"/>
      <c r="AJ1157" s="114"/>
      <c r="AK1157" s="113"/>
      <c r="AL1157" s="113"/>
      <c r="AM1157" s="113"/>
    </row>
    <row r="1158" spans="1:39" s="53" customFormat="1">
      <c r="A1158" s="72"/>
      <c r="B1158" s="35"/>
      <c r="C1158" s="35"/>
      <c r="D1158" s="35"/>
      <c r="E1158" s="35"/>
      <c r="F1158" s="35"/>
      <c r="G1158" s="110"/>
      <c r="H1158" s="110"/>
      <c r="I1158" s="111"/>
      <c r="J1158" s="112"/>
      <c r="K1158" s="113"/>
      <c r="L1158" s="353">
        <f>440000000</f>
        <v>440000000</v>
      </c>
      <c r="M1158" s="354"/>
      <c r="N1158" s="354"/>
      <c r="O1158" s="355"/>
      <c r="P1158" s="355"/>
      <c r="Q1158" s="355"/>
      <c r="R1158" s="114"/>
      <c r="S1158" s="73"/>
      <c r="T1158" s="73"/>
      <c r="U1158" s="73"/>
      <c r="V1158" s="54"/>
      <c r="W1158" s="54"/>
      <c r="X1158" s="54"/>
      <c r="Y1158" s="54"/>
      <c r="Z1158" s="54"/>
      <c r="AA1158" s="54"/>
      <c r="AB1158" s="54"/>
      <c r="AC1158" s="54"/>
      <c r="AD1158" s="54"/>
      <c r="AE1158" s="54"/>
      <c r="AF1158" s="54"/>
      <c r="AG1158" s="54"/>
      <c r="AH1158" s="54"/>
      <c r="AJ1158" s="114"/>
      <c r="AK1158" s="113"/>
      <c r="AL1158" s="113"/>
      <c r="AM1158" s="113"/>
    </row>
    <row r="1159" spans="1:39">
      <c r="N1159" s="358">
        <f>M1154+N1154</f>
        <v>-2741295470</v>
      </c>
    </row>
    <row r="1162" spans="1:39">
      <c r="L1162" s="356">
        <v>3786790422</v>
      </c>
    </row>
    <row r="1163" spans="1:39">
      <c r="L1163" s="356">
        <f>L1155-L1162-O1155</f>
        <v>0</v>
      </c>
      <c r="N1163" s="358">
        <v>1052896713</v>
      </c>
      <c r="Q1163" s="359">
        <f>Q1155-Q1154</f>
        <v>523400000</v>
      </c>
      <c r="R1163" s="130"/>
    </row>
    <row r="1166" spans="1:39">
      <c r="L1166" s="356">
        <f>L1154+L1162</f>
        <v>3786790422</v>
      </c>
    </row>
    <row r="1169" spans="13:13">
      <c r="M1169" s="357">
        <v>2752295470</v>
      </c>
    </row>
  </sheetData>
  <autoFilter ref="A1:AJ1158"/>
  <printOptions horizontalCentered="1"/>
  <pageMargins left="0.39370078740157483" right="0.39370078740157483" top="0.98425196850393704" bottom="0.59055118110236227" header="0.23622047244094491" footer="0.19685039370078741"/>
  <pageSetup paperSize="9" scale="41" fitToHeight="10000" orientation="landscape" r:id="rId1"/>
  <headerFooter scaleWithDoc="0" alignWithMargins="0">
    <oddHeader>&amp;C&amp;P</oddHeader>
    <oddFooter>&amp;Ь&amp;Ф</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2</vt:i4>
      </vt:variant>
    </vt:vector>
  </HeadingPairs>
  <TitlesOfParts>
    <vt:vector size="3" baseType="lpstr">
      <vt:lpstr>ОСНОВНЕ</vt:lpstr>
      <vt:lpstr>ОСНОВНЕ!Заголовки_для_друку</vt:lpstr>
      <vt:lpstr>ОСНОВНЕ!Область_друку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Пронько Ніна</dc:creator>
  <cp:lastModifiedBy>Фриз Тарас</cp:lastModifiedBy>
  <cp:lastPrinted>2021-03-15T12:42:56Z</cp:lastPrinted>
  <dcterms:created xsi:type="dcterms:W3CDTF">2021-01-18T08:55:18Z</dcterms:created>
  <dcterms:modified xsi:type="dcterms:W3CDTF">2021-03-31T10:27:54Z</dcterms:modified>
</cp:coreProperties>
</file>